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4220" windowHeight="6285"/>
  </bookViews>
  <sheets>
    <sheet name="2014-rekstur" sheetId="2" r:id="rId1"/>
    <sheet name="2014-EFNAHAGS" sheetId="4" r:id="rId2"/>
    <sheet name="2014-SJOÐS" sheetId="6" r:id="rId3"/>
  </sheets>
  <calcPr calcId="145621" calcOnSave="0"/>
</workbook>
</file>

<file path=xl/calcChain.xml><?xml version="1.0" encoding="utf-8"?>
<calcChain xmlns="http://schemas.openxmlformats.org/spreadsheetml/2006/main">
  <c r="C31" i="2" l="1"/>
  <c r="D31" i="2"/>
  <c r="E31" i="2"/>
  <c r="F31" i="2"/>
  <c r="G31" i="2"/>
  <c r="H31" i="2"/>
  <c r="I31" i="2"/>
  <c r="B31" i="2"/>
  <c r="C29" i="2"/>
  <c r="D29" i="2"/>
  <c r="E29" i="2"/>
  <c r="F29" i="2"/>
  <c r="G29" i="2"/>
  <c r="H29" i="2"/>
  <c r="I29" i="2"/>
  <c r="B29" i="2"/>
  <c r="C20" i="2"/>
  <c r="D20" i="2"/>
  <c r="E20" i="2"/>
  <c r="F20" i="2"/>
  <c r="G20" i="2"/>
  <c r="H20" i="2"/>
  <c r="I20" i="2"/>
  <c r="B20" i="2"/>
  <c r="C18" i="2"/>
  <c r="D18" i="2"/>
  <c r="E18" i="2"/>
  <c r="F18" i="2"/>
  <c r="G18" i="2"/>
  <c r="H18" i="2"/>
  <c r="I18" i="2"/>
  <c r="B18" i="2"/>
  <c r="C11" i="2"/>
  <c r="D11" i="2"/>
  <c r="E11" i="2"/>
  <c r="F11" i="2"/>
  <c r="G11" i="2"/>
  <c r="H11" i="2"/>
  <c r="I11" i="2"/>
  <c r="B11" i="2"/>
  <c r="I9" i="4" l="1"/>
  <c r="I45" i="4"/>
  <c r="I37" i="4"/>
  <c r="I29" i="4"/>
  <c r="I10" i="4"/>
  <c r="I8" i="4"/>
  <c r="H45" i="4"/>
  <c r="H37" i="4"/>
  <c r="H29" i="4"/>
  <c r="H10" i="4"/>
  <c r="H8" i="4"/>
  <c r="F8" i="4"/>
  <c r="G45" i="4"/>
  <c r="G37" i="4"/>
  <c r="G29" i="4"/>
  <c r="G10" i="4"/>
  <c r="G9" i="4"/>
  <c r="G8" i="4"/>
  <c r="F45" i="4"/>
  <c r="F37" i="4"/>
  <c r="F29" i="4"/>
  <c r="F10" i="4"/>
  <c r="E37" i="4"/>
  <c r="E9" i="4"/>
  <c r="E8" i="4"/>
  <c r="E45" i="4"/>
  <c r="E29" i="4"/>
  <c r="E10" i="4"/>
  <c r="D45" i="4"/>
  <c r="D37" i="4"/>
  <c r="D29" i="4"/>
  <c r="D10" i="4"/>
  <c r="D8" i="4"/>
  <c r="C6" i="6" l="1"/>
  <c r="C14" i="6" s="1"/>
  <c r="C23" i="6" s="1"/>
  <c r="C45" i="6" s="1"/>
  <c r="C48" i="6" s="1"/>
  <c r="B6" i="6"/>
  <c r="B14" i="6" s="1"/>
  <c r="B23" i="6" s="1"/>
  <c r="B45" i="6" s="1"/>
  <c r="B48" i="6" s="1"/>
  <c r="C43" i="6"/>
  <c r="D43" i="6"/>
  <c r="E43" i="6"/>
  <c r="F43" i="6"/>
  <c r="G43" i="6"/>
  <c r="H43" i="6"/>
  <c r="I43" i="6"/>
  <c r="B43" i="6"/>
  <c r="C32" i="6"/>
  <c r="D32" i="6"/>
  <c r="E32" i="6"/>
  <c r="F32" i="6"/>
  <c r="G32" i="6"/>
  <c r="H32" i="6"/>
  <c r="I32" i="6"/>
  <c r="B32" i="6"/>
  <c r="C60" i="4"/>
  <c r="D60" i="4"/>
  <c r="E60" i="4"/>
  <c r="F60" i="4"/>
  <c r="G60" i="4"/>
  <c r="H60" i="4"/>
  <c r="I60" i="4"/>
  <c r="B60" i="4"/>
  <c r="C31" i="4"/>
  <c r="D31" i="4"/>
  <c r="E31" i="4"/>
  <c r="F31" i="4"/>
  <c r="G31" i="4"/>
  <c r="H31" i="4"/>
  <c r="I31" i="4"/>
  <c r="B31" i="4"/>
  <c r="C18" i="4"/>
  <c r="C33" i="4" s="1"/>
  <c r="C62" i="4" s="1"/>
  <c r="D18" i="4"/>
  <c r="E18" i="4"/>
  <c r="F18" i="4"/>
  <c r="G18" i="4"/>
  <c r="H18" i="4"/>
  <c r="H33" i="4" s="1"/>
  <c r="I18" i="4"/>
  <c r="B18" i="4"/>
  <c r="B33" i="4" s="1"/>
  <c r="B62" i="4" s="1"/>
  <c r="F6" i="2"/>
  <c r="H6" i="2" s="1"/>
  <c r="F16" i="2"/>
  <c r="H16" i="2" s="1"/>
  <c r="F10" i="2"/>
  <c r="H10" i="2" s="1"/>
  <c r="E28" i="2"/>
  <c r="D28" i="2"/>
  <c r="F28" i="2" s="1"/>
  <c r="E26" i="2"/>
  <c r="G26" i="2" s="1"/>
  <c r="I26" i="2" s="1"/>
  <c r="D26" i="2"/>
  <c r="F26" i="2" s="1"/>
  <c r="H26" i="2" s="1"/>
  <c r="E24" i="2"/>
  <c r="G24" i="2" s="1"/>
  <c r="I24" i="2" s="1"/>
  <c r="D24" i="2"/>
  <c r="F24" i="2" s="1"/>
  <c r="H24" i="2" s="1"/>
  <c r="D23" i="2"/>
  <c r="F23" i="2" s="1"/>
  <c r="E14" i="2"/>
  <c r="G14" i="2" s="1"/>
  <c r="I14" i="2" s="1"/>
  <c r="D14" i="2"/>
  <c r="F14" i="2" s="1"/>
  <c r="H14" i="2" s="1"/>
  <c r="D7" i="2"/>
  <c r="E7" i="2" s="1"/>
  <c r="D6" i="2"/>
  <c r="E10" i="2"/>
  <c r="G10" i="2" s="1"/>
  <c r="I10" i="2" s="1"/>
  <c r="D10" i="2"/>
  <c r="D9" i="2"/>
  <c r="F9" i="2" s="1"/>
  <c r="E16" i="2"/>
  <c r="G16" i="2" s="1"/>
  <c r="I16" i="2" s="1"/>
  <c r="E17" i="2"/>
  <c r="G17" i="2" s="1"/>
  <c r="I17" i="2" s="1"/>
  <c r="D17" i="2"/>
  <c r="F17" i="2" s="1"/>
  <c r="H17" i="2" s="1"/>
  <c r="D16" i="2"/>
  <c r="E6" i="2"/>
  <c r="I33" i="4" l="1"/>
  <c r="I62" i="4" s="1"/>
  <c r="H62" i="4"/>
  <c r="G33" i="4"/>
  <c r="G62" i="4" s="1"/>
  <c r="F33" i="4"/>
  <c r="F62" i="4" s="1"/>
  <c r="D33" i="4"/>
  <c r="D62" i="4" s="1"/>
  <c r="G23" i="2"/>
  <c r="H23" i="2"/>
  <c r="I23" i="2" s="1"/>
  <c r="G9" i="2"/>
  <c r="H9" i="2"/>
  <c r="I9" i="2" s="1"/>
  <c r="G28" i="2"/>
  <c r="H28" i="2"/>
  <c r="I28" i="2" s="1"/>
  <c r="I6" i="2"/>
  <c r="E9" i="2"/>
  <c r="G6" i="2"/>
  <c r="E23" i="2"/>
  <c r="F7" i="2"/>
  <c r="F38" i="2" s="1"/>
  <c r="F6" i="6" s="1"/>
  <c r="F14" i="6" s="1"/>
  <c r="F23" i="6" s="1"/>
  <c r="F45" i="6" s="1"/>
  <c r="F48" i="6" s="1"/>
  <c r="E33" i="4"/>
  <c r="E62" i="4" s="1"/>
  <c r="D38" i="2"/>
  <c r="D6" i="6" s="1"/>
  <c r="D14" i="6" s="1"/>
  <c r="D23" i="6" s="1"/>
  <c r="D45" i="6" s="1"/>
  <c r="D48" i="6" s="1"/>
  <c r="E38" i="2"/>
  <c r="E6" i="6" s="1"/>
  <c r="E14" i="6" s="1"/>
  <c r="E23" i="6" s="1"/>
  <c r="E45" i="6" s="1"/>
  <c r="E48" i="6" s="1"/>
  <c r="G38" i="2" l="1"/>
  <c r="G6" i="6" s="1"/>
  <c r="G14" i="6" s="1"/>
  <c r="G23" i="6" s="1"/>
  <c r="G45" i="6" s="1"/>
  <c r="G48" i="6" s="1"/>
  <c r="G7" i="2"/>
  <c r="H7" i="2"/>
  <c r="I7" i="2" l="1"/>
  <c r="I38" i="2" s="1"/>
  <c r="I6" i="6" s="1"/>
  <c r="I14" i="6" s="1"/>
  <c r="I23" i="6" s="1"/>
  <c r="I45" i="6" s="1"/>
  <c r="I48" i="6" s="1"/>
  <c r="H38" i="2"/>
  <c r="H6" i="6" s="1"/>
  <c r="H14" i="6" s="1"/>
  <c r="H23" i="6" s="1"/>
  <c r="H45" i="6" s="1"/>
  <c r="H48" i="6" s="1"/>
</calcChain>
</file>

<file path=xl/sharedStrings.xml><?xml version="1.0" encoding="utf-8"?>
<sst xmlns="http://schemas.openxmlformats.org/spreadsheetml/2006/main" count="140" uniqueCount="112">
  <si>
    <t>Tekjur</t>
  </si>
  <si>
    <t>Útsvar</t>
  </si>
  <si>
    <t>Fasteignaskattur</t>
  </si>
  <si>
    <t>Skattaígildi</t>
  </si>
  <si>
    <t>Framlag úr Jöfnunarsjóði</t>
  </si>
  <si>
    <t>Þjónustugjöld og aðrar tekjur</t>
  </si>
  <si>
    <t>Gjöld</t>
  </si>
  <si>
    <t>Laun og launatengd gjöld</t>
  </si>
  <si>
    <t>Breyting lífeyrisskuldbindinga</t>
  </si>
  <si>
    <t>Annar rekstrarkostnaður</t>
  </si>
  <si>
    <t>Afskriftir</t>
  </si>
  <si>
    <t>Rekstrarniðurstaða fyrir fjármagns- og óreglulega liði</t>
  </si>
  <si>
    <t>Fjármagnsliðir</t>
  </si>
  <si>
    <t>Fjármunatekjur</t>
  </si>
  <si>
    <t>(Fjármagnsgjöld)</t>
  </si>
  <si>
    <t>Gengismunur</t>
  </si>
  <si>
    <t>Arður</t>
  </si>
  <si>
    <t>Söluhagnaður (tap) eigna</t>
  </si>
  <si>
    <t>Aðrir fjármagnsliðir</t>
  </si>
  <si>
    <t>Rekstarniðurstaða fyrir skatta og áhrif hlutdeildarfélaga</t>
  </si>
  <si>
    <t>Skattar</t>
  </si>
  <si>
    <t>Hlutdeild minnihluta</t>
  </si>
  <si>
    <t>Rekstrarniðurstaða</t>
  </si>
  <si>
    <t xml:space="preserve">A hluti </t>
  </si>
  <si>
    <t>A og B hluti</t>
  </si>
  <si>
    <t>Eignir</t>
  </si>
  <si>
    <t>Fastafjármunir</t>
  </si>
  <si>
    <t>Varanlegir rekstrarfjármunir:</t>
  </si>
  <si>
    <t>Fasteignir, lóðir og fasteignaréttindi</t>
  </si>
  <si>
    <t>Veitur, götur og hafnarmannvirki</t>
  </si>
  <si>
    <t>Vélar, áhöld og tæki</t>
  </si>
  <si>
    <t>Leigðar eignir</t>
  </si>
  <si>
    <t>Áhættufjármunir og langtímakröfur:</t>
  </si>
  <si>
    <t>Eignarhlutir í félögum</t>
  </si>
  <si>
    <t>Langtímakröfur</t>
  </si>
  <si>
    <t>Langtímakröfur á eigin fyrirtæki</t>
  </si>
  <si>
    <t>Aðrar kröfur</t>
  </si>
  <si>
    <t>Fastafjármunir samtals</t>
  </si>
  <si>
    <t>Veltufjármunir</t>
  </si>
  <si>
    <t>Skammtímakröfur:</t>
  </si>
  <si>
    <t>Birgðir</t>
  </si>
  <si>
    <t>Óinnheimtar tekjur</t>
  </si>
  <si>
    <t>Næsta árs afborganir langtímakrafna</t>
  </si>
  <si>
    <t>Næsta árs afborganir langtímakrafna á eigin fyrirtæki</t>
  </si>
  <si>
    <t>Viðskiptakröfur á eigin fyrirtæki</t>
  </si>
  <si>
    <t>Aðrar skammtímakröfur</t>
  </si>
  <si>
    <t>Handbært fé:</t>
  </si>
  <si>
    <t>Handbært fé</t>
  </si>
  <si>
    <t>Veltufjármunir samtals</t>
  </si>
  <si>
    <t>Eignir samtals</t>
  </si>
  <si>
    <t>Skuldir og eigið fé</t>
  </si>
  <si>
    <t>Eigið fé</t>
  </si>
  <si>
    <t>Eiginfjárreikningur</t>
  </si>
  <si>
    <t>Skuldbindingar</t>
  </si>
  <si>
    <t>Lífeyrisskuldbinding</t>
  </si>
  <si>
    <t>Aðrar skuldbindingar</t>
  </si>
  <si>
    <t>Langtímaskuldir</t>
  </si>
  <si>
    <t>Skuldir við lánastofnanir í íslenskum krónum</t>
  </si>
  <si>
    <t>Skuldir við lánastofnanir í erlendum myntum</t>
  </si>
  <si>
    <t>Leiguskuldir</t>
  </si>
  <si>
    <t>Aðrar langtímaskuldir</t>
  </si>
  <si>
    <t>Skammtímaskuldir</t>
  </si>
  <si>
    <t>Skuldir við lánastofnanir</t>
  </si>
  <si>
    <t>Viðskiptaskuldir</t>
  </si>
  <si>
    <t>Næsta árs afborganir langtímaskulda</t>
  </si>
  <si>
    <t>Næsta árs afborganir langtímaskulda á eigin fyrirtæki</t>
  </si>
  <si>
    <t>Næsta árs afborganir leiguskulda</t>
  </si>
  <si>
    <t>Skuldir við eigin fyrirtæki</t>
  </si>
  <si>
    <t>Aðrar skammtímaskuldir</t>
  </si>
  <si>
    <t>Mismunur á eignum og skuldum (á að vera 0)</t>
  </si>
  <si>
    <t>EFNAHAGSREIKNINGUR</t>
  </si>
  <si>
    <t>Rekstrarhreyfingar</t>
  </si>
  <si>
    <t>Niðurstaða ársins</t>
  </si>
  <si>
    <t>Rekstrarliðir sem hafa ekki áhrif á fjárstreymi:</t>
  </si>
  <si>
    <t>(Söluhagnaður) / tap eigna</t>
  </si>
  <si>
    <t>Reiknaðar afskriftir</t>
  </si>
  <si>
    <t>Verðbætur og gengismunur</t>
  </si>
  <si>
    <t>Breyting lífeyrirskuldbindinga</t>
  </si>
  <si>
    <t>Aðrar rekstrarhreyfingar</t>
  </si>
  <si>
    <t>Veltufé frá rekstri</t>
  </si>
  <si>
    <t>Breyting á rekstrartengdum eignum og skuldum:</t>
  </si>
  <si>
    <t>Birgðir, lækkun (hækkun)</t>
  </si>
  <si>
    <t>Óinnheimtar tekjur, lækkun (hækkun)</t>
  </si>
  <si>
    <t>Skammtímakröfur, lækkun (hækkun)</t>
  </si>
  <si>
    <t>Skammtímaskuldir, hækkun (lækkun)</t>
  </si>
  <si>
    <t>Aðrar breytingar á skammtímaliðum</t>
  </si>
  <si>
    <t>Handbært fé frá rekstri</t>
  </si>
  <si>
    <t>Fjárfestingahreyfingar</t>
  </si>
  <si>
    <t>Fjárfest í varanlegum rekstrarfjármunum</t>
  </si>
  <si>
    <t>Söluverð seldra rekstrarfjármuna</t>
  </si>
  <si>
    <t>Eignarhlutir í félögum, breyting</t>
  </si>
  <si>
    <t>Langtímakröfur, breyting</t>
  </si>
  <si>
    <t>Langtímakröfur á eigin fyrirtæki, breyting</t>
  </si>
  <si>
    <t>Aðrar fjárfestingarhreyfingar</t>
  </si>
  <si>
    <t>Fjárfestingahreyfingar samtals</t>
  </si>
  <si>
    <t>Fjármöngunarhreyfingar</t>
  </si>
  <si>
    <t>Tekin ný langtímalán</t>
  </si>
  <si>
    <t>Afborganir langtímalána</t>
  </si>
  <si>
    <t>Afborganir lífeyrisskuldbindinga</t>
  </si>
  <si>
    <t>Afborganir leiguskuldbindinga</t>
  </si>
  <si>
    <t>Viðskiptastaða við eigin fyrirtæki, breyting</t>
  </si>
  <si>
    <t>Langtímaskuldir við eigin fyrirtæki, breyting</t>
  </si>
  <si>
    <t>Skammtímalán, breyting</t>
  </si>
  <si>
    <t>Aðrar fjármögnunarhreyfingar</t>
  </si>
  <si>
    <t>Fjármögnunarhreyfingar samtals</t>
  </si>
  <si>
    <t>Hækkun (lækkun) á handbæru fé</t>
  </si>
  <si>
    <t>Handbært fé í ársbyrjun</t>
  </si>
  <si>
    <t>Handbært fé í árslok</t>
  </si>
  <si>
    <t xml:space="preserve">SJÓÐSTREYMI </t>
  </si>
  <si>
    <t xml:space="preserve">REKSTRARREIKNINGUR </t>
  </si>
  <si>
    <t>Þriggja ára fjárhagsáætlun Súðavíkurhrepps og stofnana hans fyrir árið 2015-2017</t>
  </si>
  <si>
    <t>Samþykkt á fundi sveitarstjórnar þann 6. mars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</si>
</sst>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r_._-;\-* #,##0\ _k_r_._-;_-* &quot;-&quot;\ _k_r_._-;_-@_-"/>
    <numFmt numFmtId="164" formatCode="#,##0_ ;[Red]\-#,##0\ "/>
    <numFmt numFmtId="165" formatCode="0_ ;[Red]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rgb="FF000000"/>
      <name val="Tahoma"/>
      <family val="2"/>
    </font>
    <font>
      <b/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medium">
        <color rgb="FFA8A8A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8A8A8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8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0" xfId="0" applyFont="1"/>
    <xf numFmtId="0" fontId="5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0" xfId="0" applyBorder="1"/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Border="1"/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right" vertical="top" wrapText="1"/>
    </xf>
    <xf numFmtId="0" fontId="0" fillId="0" borderId="0" xfId="0" applyFont="1"/>
    <xf numFmtId="0" fontId="3" fillId="0" borderId="6" xfId="0" applyFont="1" applyBorder="1"/>
    <xf numFmtId="0" fontId="3" fillId="0" borderId="4" xfId="0" applyFont="1" applyBorder="1"/>
    <xf numFmtId="0" fontId="3" fillId="0" borderId="0" xfId="0" applyFont="1"/>
    <xf numFmtId="0" fontId="4" fillId="2" borderId="3" xfId="0" applyFont="1" applyFill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6" fillId="2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0" fillId="0" borderId="20" xfId="0" applyBorder="1"/>
    <xf numFmtId="0" fontId="4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0" fillId="0" borderId="12" xfId="0" applyBorder="1"/>
    <xf numFmtId="41" fontId="0" fillId="0" borderId="18" xfId="1" applyFont="1" applyBorder="1"/>
    <xf numFmtId="41" fontId="0" fillId="0" borderId="15" xfId="1" applyFont="1" applyBorder="1"/>
    <xf numFmtId="41" fontId="0" fillId="0" borderId="17" xfId="1" applyFont="1" applyBorder="1"/>
    <xf numFmtId="41" fontId="0" fillId="0" borderId="14" xfId="1" applyFont="1" applyBorder="1"/>
    <xf numFmtId="0" fontId="3" fillId="2" borderId="5" xfId="0" applyFont="1" applyFill="1" applyBorder="1" applyAlignment="1">
      <alignment vertical="center" wrapText="1"/>
    </xf>
    <xf numFmtId="41" fontId="0" fillId="0" borderId="23" xfId="1" applyFont="1" applyBorder="1"/>
    <xf numFmtId="41" fontId="0" fillId="0" borderId="24" xfId="1" applyFont="1" applyBorder="1"/>
    <xf numFmtId="41" fontId="0" fillId="0" borderId="0" xfId="1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41" fontId="0" fillId="0" borderId="6" xfId="1" applyFont="1" applyBorder="1"/>
    <xf numFmtId="41" fontId="2" fillId="0" borderId="18" xfId="1" applyFont="1" applyBorder="1"/>
    <xf numFmtId="41" fontId="0" fillId="0" borderId="0" xfId="0" applyNumberFormat="1"/>
    <xf numFmtId="41" fontId="2" fillId="0" borderId="19" xfId="1" applyFont="1" applyBorder="1"/>
    <xf numFmtId="41" fontId="2" fillId="0" borderId="16" xfId="1" applyFont="1" applyBorder="1"/>
    <xf numFmtId="41" fontId="0" fillId="0" borderId="2" xfId="1" applyFont="1" applyBorder="1"/>
    <xf numFmtId="41" fontId="0" fillId="0" borderId="7" xfId="1" applyFont="1" applyBorder="1"/>
    <xf numFmtId="41" fontId="2" fillId="0" borderId="8" xfId="1" applyFont="1" applyBorder="1"/>
    <xf numFmtId="41" fontId="0" fillId="0" borderId="12" xfId="1" applyFont="1" applyBorder="1"/>
    <xf numFmtId="41" fontId="0" fillId="0" borderId="32" xfId="1" applyFont="1" applyBorder="1"/>
    <xf numFmtId="41" fontId="0" fillId="0" borderId="33" xfId="1" applyFont="1" applyBorder="1"/>
    <xf numFmtId="0" fontId="5" fillId="2" borderId="5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41" fontId="2" fillId="0" borderId="3" xfId="1" applyFont="1" applyBorder="1"/>
    <xf numFmtId="41" fontId="2" fillId="0" borderId="11" xfId="1" applyFont="1" applyBorder="1"/>
    <xf numFmtId="0" fontId="7" fillId="2" borderId="4" xfId="0" applyFont="1" applyFill="1" applyBorder="1" applyAlignment="1">
      <alignment horizontal="right" vertical="top" wrapText="1"/>
    </xf>
    <xf numFmtId="0" fontId="7" fillId="2" borderId="34" xfId="0" applyFont="1" applyFill="1" applyBorder="1" applyAlignment="1">
      <alignment horizontal="right" vertical="top" wrapText="1"/>
    </xf>
    <xf numFmtId="41" fontId="2" fillId="0" borderId="34" xfId="1" applyFont="1" applyBorder="1"/>
    <xf numFmtId="0" fontId="6" fillId="2" borderId="7" xfId="0" applyFont="1" applyFill="1" applyBorder="1" applyAlignment="1">
      <alignment horizontal="left" vertical="top" wrapText="1"/>
    </xf>
    <xf numFmtId="41" fontId="11" fillId="2" borderId="10" xfId="0" applyNumberFormat="1" applyFont="1" applyFill="1" applyBorder="1" applyAlignment="1">
      <alignment horizontal="right" vertical="center" wrapText="1"/>
    </xf>
    <xf numFmtId="41" fontId="3" fillId="0" borderId="4" xfId="0" applyNumberFormat="1" applyFont="1" applyBorder="1"/>
    <xf numFmtId="41" fontId="3" fillId="0" borderId="2" xfId="0" applyNumberFormat="1" applyFont="1" applyBorder="1"/>
    <xf numFmtId="41" fontId="0" fillId="0" borderId="0" xfId="0" applyNumberFormat="1" applyFont="1"/>
    <xf numFmtId="41" fontId="0" fillId="0" borderId="36" xfId="1" applyFont="1" applyBorder="1"/>
    <xf numFmtId="41" fontId="2" fillId="0" borderId="35" xfId="1" applyFont="1" applyBorder="1"/>
    <xf numFmtId="41" fontId="0" fillId="0" borderId="39" xfId="1" applyFont="1" applyBorder="1"/>
    <xf numFmtId="41" fontId="2" fillId="0" borderId="41" xfId="1" applyFont="1" applyBorder="1"/>
    <xf numFmtId="0" fontId="3" fillId="2" borderId="36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right" vertical="center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1" fontId="2" fillId="0" borderId="23" xfId="1" applyFont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164" fontId="0" fillId="0" borderId="18" xfId="1" applyNumberFormat="1" applyFont="1" applyBorder="1"/>
    <xf numFmtId="164" fontId="0" fillId="0" borderId="15" xfId="1" applyNumberFormat="1" applyFont="1" applyBorder="1"/>
    <xf numFmtId="164" fontId="2" fillId="0" borderId="19" xfId="1" applyNumberFormat="1" applyFont="1" applyBorder="1"/>
    <xf numFmtId="164" fontId="2" fillId="0" borderId="41" xfId="1" applyNumberFormat="1" applyFont="1" applyBorder="1"/>
    <xf numFmtId="164" fontId="0" fillId="0" borderId="17" xfId="1" applyNumberFormat="1" applyFont="1" applyBorder="1"/>
    <xf numFmtId="164" fontId="0" fillId="0" borderId="14" xfId="1" applyNumberFormat="1" applyFont="1" applyBorder="1"/>
    <xf numFmtId="164" fontId="2" fillId="0" borderId="18" xfId="1" applyNumberFormat="1" applyFont="1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164" fontId="0" fillId="0" borderId="32" xfId="1" applyNumberFormat="1" applyFont="1" applyBorder="1"/>
    <xf numFmtId="164" fontId="0" fillId="0" borderId="33" xfId="1" applyNumberFormat="1" applyFont="1" applyBorder="1"/>
    <xf numFmtId="164" fontId="2" fillId="0" borderId="23" xfId="1" applyNumberFormat="1" applyFont="1" applyBorder="1"/>
    <xf numFmtId="164" fontId="2" fillId="0" borderId="16" xfId="1" applyNumberFormat="1" applyFont="1" applyBorder="1"/>
    <xf numFmtId="38" fontId="0" fillId="0" borderId="23" xfId="1" applyNumberFormat="1" applyFont="1" applyBorder="1"/>
    <xf numFmtId="38" fontId="0" fillId="0" borderId="24" xfId="1" applyNumberFormat="1" applyFont="1" applyBorder="1"/>
    <xf numFmtId="38" fontId="0" fillId="0" borderId="29" xfId="1" applyNumberFormat="1" applyFont="1" applyBorder="1"/>
    <xf numFmtId="38" fontId="0" fillId="0" borderId="5" xfId="1" applyNumberFormat="1" applyFont="1" applyBorder="1"/>
    <xf numFmtId="38" fontId="0" fillId="0" borderId="18" xfId="1" applyNumberFormat="1" applyFont="1" applyBorder="1"/>
    <xf numFmtId="38" fontId="0" fillId="0" borderId="15" xfId="1" applyNumberFormat="1" applyFont="1" applyBorder="1"/>
    <xf numFmtId="38" fontId="0" fillId="0" borderId="30" xfId="1" applyNumberFormat="1" applyFont="1" applyBorder="1"/>
    <xf numFmtId="38" fontId="0" fillId="0" borderId="12" xfId="1" applyNumberFormat="1" applyFont="1" applyBorder="1"/>
    <xf numFmtId="38" fontId="0" fillId="0" borderId="32" xfId="1" applyNumberFormat="1" applyFont="1" applyBorder="1"/>
    <xf numFmtId="38" fontId="0" fillId="0" borderId="33" xfId="1" applyNumberFormat="1" applyFont="1" applyBorder="1"/>
    <xf numFmtId="38" fontId="0" fillId="0" borderId="31" xfId="1" applyNumberFormat="1" applyFont="1" applyBorder="1"/>
    <xf numFmtId="38" fontId="0" fillId="0" borderId="28" xfId="1" applyNumberFormat="1" applyFont="1" applyBorder="1"/>
    <xf numFmtId="38" fontId="2" fillId="0" borderId="8" xfId="1" applyNumberFormat="1" applyFont="1" applyBorder="1"/>
    <xf numFmtId="38" fontId="0" fillId="0" borderId="0" xfId="0" applyNumberFormat="1"/>
    <xf numFmtId="38" fontId="0" fillId="0" borderId="2" xfId="1" applyNumberFormat="1" applyFont="1" applyBorder="1"/>
    <xf numFmtId="38" fontId="2" fillId="0" borderId="3" xfId="1" applyNumberFormat="1" applyFont="1" applyBorder="1"/>
    <xf numFmtId="38" fontId="2" fillId="0" borderId="11" xfId="1" applyNumberFormat="1" applyFont="1" applyBorder="1"/>
    <xf numFmtId="38" fontId="11" fillId="2" borderId="10" xfId="0" applyNumberFormat="1" applyFont="1" applyFill="1" applyBorder="1" applyAlignment="1">
      <alignment horizontal="right" vertical="center" wrapText="1"/>
    </xf>
    <xf numFmtId="38" fontId="0" fillId="0" borderId="7" xfId="1" applyNumberFormat="1" applyFont="1" applyBorder="1"/>
    <xf numFmtId="38" fontId="2" fillId="0" borderId="34" xfId="1" applyNumberFormat="1" applyFont="1" applyBorder="1"/>
    <xf numFmtId="38" fontId="3" fillId="0" borderId="2" xfId="0" applyNumberFormat="1" applyFont="1" applyBorder="1"/>
    <xf numFmtId="165" fontId="12" fillId="0" borderId="18" xfId="1" applyNumberFormat="1" applyFont="1" applyBorder="1"/>
    <xf numFmtId="165" fontId="12" fillId="0" borderId="15" xfId="1" applyNumberFormat="1" applyFont="1" applyBorder="1"/>
    <xf numFmtId="165" fontId="12" fillId="0" borderId="30" xfId="1" applyNumberFormat="1" applyFont="1" applyBorder="1"/>
    <xf numFmtId="0" fontId="12" fillId="0" borderId="0" xfId="0" applyFont="1"/>
    <xf numFmtId="165" fontId="12" fillId="0" borderId="12" xfId="1" applyNumberFormat="1" applyFont="1" applyBorder="1"/>
    <xf numFmtId="165" fontId="12" fillId="0" borderId="39" xfId="1" applyNumberFormat="1" applyFont="1" applyBorder="1"/>
    <xf numFmtId="165" fontId="12" fillId="0" borderId="40" xfId="1" applyNumberFormat="1" applyFont="1" applyBorder="1"/>
    <xf numFmtId="165" fontId="12" fillId="0" borderId="37" xfId="1" applyNumberFormat="1" applyFont="1" applyBorder="1"/>
    <xf numFmtId="165" fontId="13" fillId="0" borderId="41" xfId="1" applyNumberFormat="1" applyFont="1" applyBorder="1"/>
    <xf numFmtId="165" fontId="13" fillId="0" borderId="42" xfId="1" applyNumberFormat="1" applyFont="1" applyBorder="1"/>
    <xf numFmtId="165" fontId="13" fillId="0" borderId="11" xfId="1" applyNumberFormat="1" applyFont="1" applyBorder="1"/>
    <xf numFmtId="165" fontId="12" fillId="0" borderId="17" xfId="0" applyNumberFormat="1" applyFont="1" applyBorder="1"/>
    <xf numFmtId="165" fontId="12" fillId="0" borderId="14" xfId="0" applyNumberFormat="1" applyFont="1" applyBorder="1"/>
    <xf numFmtId="165" fontId="12" fillId="0" borderId="0" xfId="0" applyNumberFormat="1" applyFont="1" applyBorder="1"/>
    <xf numFmtId="165" fontId="13" fillId="0" borderId="19" xfId="1" applyNumberFormat="1" applyFont="1" applyBorder="1"/>
    <xf numFmtId="165" fontId="13" fillId="0" borderId="16" xfId="1" applyNumberFormat="1" applyFont="1" applyBorder="1"/>
    <xf numFmtId="165" fontId="13" fillId="0" borderId="38" xfId="1" applyNumberFormat="1" applyFont="1" applyBorder="1"/>
    <xf numFmtId="165" fontId="12" fillId="0" borderId="17" xfId="1" applyNumberFormat="1" applyFont="1" applyBorder="1"/>
    <xf numFmtId="165" fontId="12" fillId="0" borderId="14" xfId="1" applyNumberFormat="1" applyFont="1" applyBorder="1"/>
    <xf numFmtId="165" fontId="12" fillId="0" borderId="0" xfId="1" applyNumberFormat="1" applyFont="1" applyBorder="1"/>
    <xf numFmtId="0" fontId="14" fillId="0" borderId="0" xfId="0" applyNumberFormat="1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0"/>
  <sheetViews>
    <sheetView tabSelected="1" topLeftCell="A10" zoomScaleNormal="100" workbookViewId="0">
      <selection activeCell="M26" sqref="M26"/>
    </sheetView>
  </sheetViews>
  <sheetFormatPr defaultRowHeight="15" x14ac:dyDescent="0.25"/>
  <cols>
    <col min="1" max="1" width="43.42578125" customWidth="1"/>
    <col min="2" max="3" width="19.140625" hidden="1" customWidth="1"/>
    <col min="4" max="4" width="18.5703125" customWidth="1"/>
    <col min="5" max="5" width="15.85546875" customWidth="1"/>
    <col min="6" max="7" width="15.7109375" customWidth="1"/>
    <col min="8" max="9" width="14.28515625" customWidth="1"/>
  </cols>
  <sheetData>
    <row r="1" spans="1:9" ht="36" customHeight="1" x14ac:dyDescent="0.25">
      <c r="A1" s="137" t="s">
        <v>110</v>
      </c>
    </row>
    <row r="2" spans="1:9" ht="21.75" thickBot="1" x14ac:dyDescent="0.4">
      <c r="B2" s="23"/>
      <c r="C2" s="23"/>
      <c r="D2" s="31"/>
      <c r="E2" s="31"/>
      <c r="F2" s="31" t="s">
        <v>111</v>
      </c>
      <c r="G2" s="31"/>
      <c r="H2" s="31"/>
      <c r="I2" s="31"/>
    </row>
    <row r="3" spans="1:9" ht="21" x14ac:dyDescent="0.35">
      <c r="A3" s="23" t="s">
        <v>109</v>
      </c>
      <c r="B3" s="75">
        <v>2014</v>
      </c>
      <c r="C3" s="76"/>
      <c r="D3" s="75">
        <v>2015</v>
      </c>
      <c r="E3" s="76"/>
      <c r="F3" s="77">
        <v>2016</v>
      </c>
      <c r="G3" s="78"/>
      <c r="H3" s="77">
        <v>2017</v>
      </c>
      <c r="I3" s="78"/>
    </row>
    <row r="4" spans="1:9" x14ac:dyDescent="0.25">
      <c r="A4" s="4"/>
      <c r="B4" s="43" t="s">
        <v>23</v>
      </c>
      <c r="C4" s="44" t="s">
        <v>24</v>
      </c>
      <c r="D4" s="43" t="s">
        <v>23</v>
      </c>
      <c r="E4" s="44" t="s">
        <v>24</v>
      </c>
      <c r="F4" s="43" t="s">
        <v>23</v>
      </c>
      <c r="G4" s="44" t="s">
        <v>24</v>
      </c>
      <c r="H4" s="43" t="s">
        <v>23</v>
      </c>
      <c r="I4" s="44" t="s">
        <v>24</v>
      </c>
    </row>
    <row r="5" spans="1:9" ht="14.45" x14ac:dyDescent="0.3">
      <c r="A5" s="14" t="s">
        <v>0</v>
      </c>
      <c r="B5" s="45"/>
      <c r="C5" s="45"/>
      <c r="D5" s="45"/>
      <c r="E5" s="45"/>
      <c r="F5" s="45"/>
      <c r="G5" s="45"/>
      <c r="H5" s="45"/>
      <c r="I5" s="45"/>
    </row>
    <row r="6" spans="1:9" x14ac:dyDescent="0.25">
      <c r="A6" s="39" t="s">
        <v>1</v>
      </c>
      <c r="B6" s="40">
        <v>64000</v>
      </c>
      <c r="C6" s="41">
        <v>64000</v>
      </c>
      <c r="D6" s="81">
        <f>SUM(B6*1.045)</f>
        <v>66880</v>
      </c>
      <c r="E6" s="82">
        <f>SUM(D6)</f>
        <v>66880</v>
      </c>
      <c r="F6" s="81">
        <f>SUM(D6*1.04)</f>
        <v>69555.199999999997</v>
      </c>
      <c r="G6" s="82">
        <f>SUM(F6)</f>
        <v>69555.199999999997</v>
      </c>
      <c r="H6" s="81">
        <f>SUM(F6*1.04)</f>
        <v>72337.407999999996</v>
      </c>
      <c r="I6" s="82">
        <f>SUM(H6)</f>
        <v>72337.407999999996</v>
      </c>
    </row>
    <row r="7" spans="1:9" ht="14.45" x14ac:dyDescent="0.3">
      <c r="A7" s="33" t="s">
        <v>2</v>
      </c>
      <c r="B7" s="35">
        <v>15700</v>
      </c>
      <c r="C7" s="36">
        <v>15700</v>
      </c>
      <c r="D7" s="83">
        <f>SUM(B7*1.035)</f>
        <v>16249.499999999998</v>
      </c>
      <c r="E7" s="82">
        <f>SUM(D7)</f>
        <v>16249.499999999998</v>
      </c>
      <c r="F7" s="83">
        <f>SUM(D7*1.035)</f>
        <v>16818.232499999998</v>
      </c>
      <c r="G7" s="82">
        <f>SUM(F7)</f>
        <v>16818.232499999998</v>
      </c>
      <c r="H7" s="83">
        <f>SUM(F7*1.035)</f>
        <v>17406.870637499997</v>
      </c>
      <c r="I7" s="82">
        <f>SUM(H7)</f>
        <v>17406.870637499997</v>
      </c>
    </row>
    <row r="8" spans="1:9" x14ac:dyDescent="0.25">
      <c r="A8" s="33" t="s">
        <v>3</v>
      </c>
      <c r="B8" s="35"/>
      <c r="C8" s="36"/>
      <c r="D8" s="83"/>
      <c r="E8" s="84"/>
      <c r="F8" s="83"/>
      <c r="G8" s="84"/>
      <c r="H8" s="83"/>
      <c r="I8" s="84"/>
    </row>
    <row r="9" spans="1:9" x14ac:dyDescent="0.25">
      <c r="A9" s="33" t="s">
        <v>4</v>
      </c>
      <c r="B9" s="35">
        <v>79233</v>
      </c>
      <c r="C9" s="36">
        <v>79233</v>
      </c>
      <c r="D9" s="83">
        <f>SUM(B9*1.035)</f>
        <v>82006.154999999999</v>
      </c>
      <c r="E9" s="84">
        <f>SUM(D9)</f>
        <v>82006.154999999999</v>
      </c>
      <c r="F9" s="83">
        <f>SUM(D9*1.035)</f>
        <v>84876.370424999986</v>
      </c>
      <c r="G9" s="84">
        <f>SUM(F9)</f>
        <v>84876.370424999986</v>
      </c>
      <c r="H9" s="83">
        <f>SUM(F9*1.035)</f>
        <v>87847.043389874976</v>
      </c>
      <c r="I9" s="84">
        <f>SUM(H9)</f>
        <v>87847.043389874976</v>
      </c>
    </row>
    <row r="10" spans="1:9" x14ac:dyDescent="0.25">
      <c r="A10" s="33" t="s">
        <v>5</v>
      </c>
      <c r="B10" s="35">
        <v>32158</v>
      </c>
      <c r="C10" s="36">
        <v>56068</v>
      </c>
      <c r="D10" s="83">
        <f t="shared" ref="D10:I10" si="0">SUM(B10*1.02)</f>
        <v>32801.160000000003</v>
      </c>
      <c r="E10" s="84">
        <f t="shared" si="0"/>
        <v>57189.36</v>
      </c>
      <c r="F10" s="83">
        <f t="shared" si="0"/>
        <v>33457.183200000007</v>
      </c>
      <c r="G10" s="84">
        <f t="shared" si="0"/>
        <v>58333.147199999999</v>
      </c>
      <c r="H10" s="83">
        <f t="shared" si="0"/>
        <v>34126.32686400001</v>
      </c>
      <c r="I10" s="84">
        <f t="shared" si="0"/>
        <v>59499.810144000003</v>
      </c>
    </row>
    <row r="11" spans="1:9" ht="15.75" thickBot="1" x14ac:dyDescent="0.3">
      <c r="A11" s="33"/>
      <c r="B11" s="48">
        <f>SUM(B6:B10)</f>
        <v>191091</v>
      </c>
      <c r="C11" s="48">
        <f t="shared" ref="C11:I11" si="1">SUM(C6:C10)</f>
        <v>215001</v>
      </c>
      <c r="D11" s="85">
        <f t="shared" si="1"/>
        <v>197936.815</v>
      </c>
      <c r="E11" s="85">
        <f t="shared" si="1"/>
        <v>222325.01500000001</v>
      </c>
      <c r="F11" s="85">
        <f t="shared" si="1"/>
        <v>204706.98612499997</v>
      </c>
      <c r="G11" s="85">
        <f t="shared" si="1"/>
        <v>229582.95012499997</v>
      </c>
      <c r="H11" s="85">
        <f t="shared" si="1"/>
        <v>211717.64889137496</v>
      </c>
      <c r="I11" s="85">
        <f t="shared" si="1"/>
        <v>237091.13217137498</v>
      </c>
    </row>
    <row r="12" spans="1:9" ht="15.75" thickTop="1" x14ac:dyDescent="0.25">
      <c r="A12" s="33"/>
      <c r="B12" s="40"/>
      <c r="C12" s="41"/>
      <c r="D12" s="81"/>
      <c r="E12" s="82"/>
      <c r="F12" s="81"/>
      <c r="G12" s="82"/>
      <c r="H12" s="81"/>
      <c r="I12" s="82"/>
    </row>
    <row r="13" spans="1:9" x14ac:dyDescent="0.25">
      <c r="A13" s="32" t="s">
        <v>6</v>
      </c>
      <c r="B13" s="35"/>
      <c r="C13" s="36"/>
      <c r="D13" s="83"/>
      <c r="E13" s="84"/>
      <c r="F13" s="83"/>
      <c r="G13" s="84"/>
      <c r="H13" s="83"/>
      <c r="I13" s="84"/>
    </row>
    <row r="14" spans="1:9" x14ac:dyDescent="0.25">
      <c r="A14" s="33" t="s">
        <v>7</v>
      </c>
      <c r="B14" s="35">
        <v>-96456</v>
      </c>
      <c r="C14" s="36">
        <v>-98606</v>
      </c>
      <c r="D14" s="83">
        <f t="shared" ref="D14:I14" si="2">SUM(B14*1.035)</f>
        <v>-99831.959999999992</v>
      </c>
      <c r="E14" s="84">
        <f t="shared" si="2"/>
        <v>-102057.20999999999</v>
      </c>
      <c r="F14" s="83">
        <f t="shared" si="2"/>
        <v>-103326.07859999998</v>
      </c>
      <c r="G14" s="84">
        <f t="shared" si="2"/>
        <v>-105629.21234999999</v>
      </c>
      <c r="H14" s="83">
        <f t="shared" si="2"/>
        <v>-106942.49135099998</v>
      </c>
      <c r="I14" s="84">
        <f t="shared" si="2"/>
        <v>-109326.23478224997</v>
      </c>
    </row>
    <row r="15" spans="1:9" x14ac:dyDescent="0.25">
      <c r="A15" s="33" t="s">
        <v>8</v>
      </c>
      <c r="B15" s="35">
        <v>0</v>
      </c>
      <c r="C15" s="36"/>
      <c r="D15" s="83"/>
      <c r="E15" s="84"/>
      <c r="F15" s="83"/>
      <c r="G15" s="84"/>
      <c r="H15" s="83"/>
      <c r="I15" s="84"/>
    </row>
    <row r="16" spans="1:9" x14ac:dyDescent="0.25">
      <c r="A16" s="33" t="s">
        <v>9</v>
      </c>
      <c r="B16" s="35">
        <v>-87925</v>
      </c>
      <c r="C16" s="36">
        <v>-95110</v>
      </c>
      <c r="D16" s="83">
        <f t="shared" ref="D16:I16" si="3">SUM(B16*1.035)</f>
        <v>-91002.375</v>
      </c>
      <c r="E16" s="84">
        <f t="shared" si="3"/>
        <v>-98438.849999999991</v>
      </c>
      <c r="F16" s="83">
        <f t="shared" si="3"/>
        <v>-94187.45812499999</v>
      </c>
      <c r="G16" s="84">
        <f t="shared" si="3"/>
        <v>-101884.20974999998</v>
      </c>
      <c r="H16" s="83">
        <f t="shared" si="3"/>
        <v>-97484.019159374977</v>
      </c>
      <c r="I16" s="84">
        <f t="shared" si="3"/>
        <v>-105450.15709124997</v>
      </c>
    </row>
    <row r="17" spans="1:9" x14ac:dyDescent="0.25">
      <c r="A17" s="33" t="s">
        <v>10</v>
      </c>
      <c r="B17" s="35">
        <v>-5840</v>
      </c>
      <c r="C17" s="36">
        <v>-12910</v>
      </c>
      <c r="D17" s="83">
        <f t="shared" ref="D17:I17" si="4">SUM(B17*1)</f>
        <v>-5840</v>
      </c>
      <c r="E17" s="84">
        <f t="shared" si="4"/>
        <v>-12910</v>
      </c>
      <c r="F17" s="83">
        <f t="shared" si="4"/>
        <v>-5840</v>
      </c>
      <c r="G17" s="84">
        <f t="shared" si="4"/>
        <v>-12910</v>
      </c>
      <c r="H17" s="83">
        <f t="shared" si="4"/>
        <v>-5840</v>
      </c>
      <c r="I17" s="84">
        <f t="shared" si="4"/>
        <v>-12910</v>
      </c>
    </row>
    <row r="18" spans="1:9" ht="15.75" thickBot="1" x14ac:dyDescent="0.3">
      <c r="B18" s="72">
        <f>SUM(B14:B17)</f>
        <v>-190221</v>
      </c>
      <c r="C18" s="72">
        <f t="shared" ref="C18:I18" si="5">SUM(C14:C17)</f>
        <v>-206626</v>
      </c>
      <c r="D18" s="86">
        <f t="shared" si="5"/>
        <v>-196674.33499999999</v>
      </c>
      <c r="E18" s="86">
        <f t="shared" si="5"/>
        <v>-213406.06</v>
      </c>
      <c r="F18" s="86">
        <f t="shared" si="5"/>
        <v>-203353.53672499995</v>
      </c>
      <c r="G18" s="86">
        <f t="shared" si="5"/>
        <v>-220423.42209999997</v>
      </c>
      <c r="H18" s="86">
        <f t="shared" si="5"/>
        <v>-210266.51051037497</v>
      </c>
      <c r="I18" s="86">
        <f t="shared" si="5"/>
        <v>-227686.39187349996</v>
      </c>
    </row>
    <row r="19" spans="1:9" ht="15.75" thickTop="1" x14ac:dyDescent="0.25">
      <c r="B19" s="37"/>
      <c r="C19" s="38"/>
      <c r="D19" s="87"/>
      <c r="E19" s="88"/>
      <c r="F19" s="87"/>
      <c r="G19" s="88"/>
      <c r="H19" s="87"/>
      <c r="I19" s="88"/>
    </row>
    <row r="20" spans="1:9" ht="28.5" x14ac:dyDescent="0.25">
      <c r="A20" s="32" t="s">
        <v>11</v>
      </c>
      <c r="B20" s="46">
        <f>SUM(B11+B18)</f>
        <v>870</v>
      </c>
      <c r="C20" s="46">
        <f t="shared" ref="C20:I20" si="6">SUM(C11+C18)</f>
        <v>8375</v>
      </c>
      <c r="D20" s="89">
        <f t="shared" si="6"/>
        <v>1262.4800000000105</v>
      </c>
      <c r="E20" s="89">
        <f t="shared" si="6"/>
        <v>8918.9550000000163</v>
      </c>
      <c r="F20" s="89">
        <f t="shared" si="6"/>
        <v>1353.4494000000122</v>
      </c>
      <c r="G20" s="89">
        <f t="shared" si="6"/>
        <v>9159.5280250000069</v>
      </c>
      <c r="H20" s="89">
        <f t="shared" si="6"/>
        <v>1451.138380999997</v>
      </c>
      <c r="I20" s="89">
        <f t="shared" si="6"/>
        <v>9404.7402978750179</v>
      </c>
    </row>
    <row r="21" spans="1:9" ht="14.45" x14ac:dyDescent="0.3">
      <c r="A21" s="7"/>
      <c r="B21" s="42"/>
      <c r="C21" s="42"/>
      <c r="D21" s="90"/>
      <c r="E21" s="90"/>
      <c r="F21" s="90"/>
      <c r="G21" s="90"/>
      <c r="H21" s="90"/>
      <c r="I21" s="90"/>
    </row>
    <row r="22" spans="1:9" x14ac:dyDescent="0.25">
      <c r="A22" s="14" t="s">
        <v>12</v>
      </c>
      <c r="B22" s="45"/>
      <c r="C22" s="45"/>
      <c r="D22" s="91"/>
      <c r="E22" s="91"/>
      <c r="F22" s="91"/>
      <c r="G22" s="91"/>
      <c r="H22" s="91"/>
      <c r="I22" s="91"/>
    </row>
    <row r="23" spans="1:9" x14ac:dyDescent="0.25">
      <c r="A23" s="39" t="s">
        <v>13</v>
      </c>
      <c r="B23" s="40">
        <v>500</v>
      </c>
      <c r="C23" s="41">
        <v>500</v>
      </c>
      <c r="D23" s="81">
        <f>SUM(B23*1.04)</f>
        <v>520</v>
      </c>
      <c r="E23" s="82">
        <f>SUM(D23)</f>
        <v>520</v>
      </c>
      <c r="F23" s="81">
        <f>SUM(D23*1.04)</f>
        <v>540.80000000000007</v>
      </c>
      <c r="G23" s="82">
        <f>SUM(F23)</f>
        <v>540.80000000000007</v>
      </c>
      <c r="H23" s="81">
        <f>SUM(F23*1.04)</f>
        <v>562.43200000000013</v>
      </c>
      <c r="I23" s="82">
        <f>SUM(H23)</f>
        <v>562.43200000000013</v>
      </c>
    </row>
    <row r="24" spans="1:9" x14ac:dyDescent="0.25">
      <c r="A24" s="33" t="s">
        <v>14</v>
      </c>
      <c r="B24" s="35">
        <v>-2420</v>
      </c>
      <c r="C24" s="36">
        <v>-4220</v>
      </c>
      <c r="D24" s="83">
        <f t="shared" ref="D24:I24" si="7">SUM(B24*0.94)</f>
        <v>-2274.7999999999997</v>
      </c>
      <c r="E24" s="84">
        <f t="shared" si="7"/>
        <v>-3966.7999999999997</v>
      </c>
      <c r="F24" s="83">
        <f t="shared" si="7"/>
        <v>-2138.3119999999994</v>
      </c>
      <c r="G24" s="84">
        <f t="shared" si="7"/>
        <v>-3728.7919999999995</v>
      </c>
      <c r="H24" s="83">
        <f t="shared" si="7"/>
        <v>-2010.0132799999994</v>
      </c>
      <c r="I24" s="84">
        <f t="shared" si="7"/>
        <v>-3505.0644799999991</v>
      </c>
    </row>
    <row r="25" spans="1:9" ht="14.45" x14ac:dyDescent="0.3">
      <c r="A25" s="33" t="s">
        <v>15</v>
      </c>
      <c r="B25" s="35"/>
      <c r="C25" s="36"/>
      <c r="D25" s="83"/>
      <c r="E25" s="84"/>
      <c r="F25" s="83"/>
      <c r="G25" s="84"/>
      <c r="H25" s="83"/>
      <c r="I25" s="84"/>
    </row>
    <row r="26" spans="1:9" x14ac:dyDescent="0.25">
      <c r="A26" s="33" t="s">
        <v>16</v>
      </c>
      <c r="B26" s="35">
        <v>2000</v>
      </c>
      <c r="C26" s="36">
        <v>2000</v>
      </c>
      <c r="D26" s="83">
        <f t="shared" ref="D26:I26" si="8">SUM(B26)</f>
        <v>2000</v>
      </c>
      <c r="E26" s="84">
        <f t="shared" si="8"/>
        <v>2000</v>
      </c>
      <c r="F26" s="83">
        <f t="shared" si="8"/>
        <v>2000</v>
      </c>
      <c r="G26" s="84">
        <f t="shared" si="8"/>
        <v>2000</v>
      </c>
      <c r="H26" s="83">
        <f t="shared" si="8"/>
        <v>2000</v>
      </c>
      <c r="I26" s="84">
        <f t="shared" si="8"/>
        <v>2000</v>
      </c>
    </row>
    <row r="27" spans="1:9" x14ac:dyDescent="0.25">
      <c r="A27" s="33" t="s">
        <v>17</v>
      </c>
      <c r="B27" s="35"/>
      <c r="C27" s="36"/>
      <c r="D27" s="83"/>
      <c r="E27" s="84"/>
      <c r="F27" s="83"/>
      <c r="G27" s="84"/>
      <c r="H27" s="83"/>
      <c r="I27" s="84"/>
    </row>
    <row r="28" spans="1:9" ht="15.75" thickBot="1" x14ac:dyDescent="0.3">
      <c r="A28" s="58" t="s">
        <v>18</v>
      </c>
      <c r="B28" s="54">
        <v>-200</v>
      </c>
      <c r="C28" s="55">
        <v>-200</v>
      </c>
      <c r="D28" s="92">
        <f>SUM(B28)</f>
        <v>-200</v>
      </c>
      <c r="E28" s="93">
        <f>SUM(D28)</f>
        <v>-200</v>
      </c>
      <c r="F28" s="92">
        <f>SUM(D28)</f>
        <v>-200</v>
      </c>
      <c r="G28" s="93">
        <f>SUM(F28)</f>
        <v>-200</v>
      </c>
      <c r="H28" s="92">
        <f>SUM(F28)</f>
        <v>-200</v>
      </c>
      <c r="I28" s="93">
        <f>SUM(H28)</f>
        <v>-200</v>
      </c>
    </row>
    <row r="29" spans="1:9" x14ac:dyDescent="0.25">
      <c r="A29" s="39"/>
      <c r="B29" s="80">
        <f>SUM(B23:B28)</f>
        <v>-120</v>
      </c>
      <c r="C29" s="80">
        <f t="shared" ref="C29:I29" si="9">SUM(C23:C28)</f>
        <v>-1920</v>
      </c>
      <c r="D29" s="94">
        <f t="shared" si="9"/>
        <v>45.200000000000273</v>
      </c>
      <c r="E29" s="94">
        <f t="shared" si="9"/>
        <v>-1646.7999999999997</v>
      </c>
      <c r="F29" s="94">
        <f t="shared" si="9"/>
        <v>202.48800000000074</v>
      </c>
      <c r="G29" s="94">
        <f t="shared" si="9"/>
        <v>-1387.9919999999993</v>
      </c>
      <c r="H29" s="94">
        <f t="shared" si="9"/>
        <v>352.41872000000058</v>
      </c>
      <c r="I29" s="94">
        <f t="shared" si="9"/>
        <v>-1142.6324799999988</v>
      </c>
    </row>
    <row r="30" spans="1:9" x14ac:dyDescent="0.25">
      <c r="A30" s="34"/>
      <c r="B30" s="35"/>
      <c r="C30" s="36"/>
      <c r="D30" s="83"/>
      <c r="E30" s="84"/>
      <c r="F30" s="83"/>
      <c r="G30" s="84"/>
      <c r="H30" s="83"/>
      <c r="I30" s="84"/>
    </row>
    <row r="31" spans="1:9" ht="29.25" thickBot="1" x14ac:dyDescent="0.3">
      <c r="A31" s="32" t="s">
        <v>19</v>
      </c>
      <c r="B31" s="48">
        <f>SUM(B20+B29)</f>
        <v>750</v>
      </c>
      <c r="C31" s="48">
        <f t="shared" ref="C31:I31" si="10">SUM(C20+C29)</f>
        <v>6455</v>
      </c>
      <c r="D31" s="85">
        <f t="shared" si="10"/>
        <v>1307.6800000000108</v>
      </c>
      <c r="E31" s="85">
        <f t="shared" si="10"/>
        <v>7272.155000000017</v>
      </c>
      <c r="F31" s="85">
        <f t="shared" si="10"/>
        <v>1555.937400000013</v>
      </c>
      <c r="G31" s="85">
        <f t="shared" si="10"/>
        <v>7771.5360250000076</v>
      </c>
      <c r="H31" s="85">
        <f t="shared" si="10"/>
        <v>1803.5571009999976</v>
      </c>
      <c r="I31" s="85">
        <f t="shared" si="10"/>
        <v>8262.1078178750195</v>
      </c>
    </row>
    <row r="32" spans="1:9" ht="15.75" thickTop="1" x14ac:dyDescent="0.25">
      <c r="A32" s="33" t="s">
        <v>20</v>
      </c>
      <c r="B32" s="40"/>
      <c r="C32" s="40"/>
      <c r="D32" s="81"/>
      <c r="E32" s="81"/>
      <c r="F32" s="81"/>
      <c r="G32" s="81"/>
      <c r="H32" s="81"/>
      <c r="I32" s="81"/>
    </row>
    <row r="33" spans="1:9" x14ac:dyDescent="0.25">
      <c r="A33" s="33" t="s">
        <v>21</v>
      </c>
      <c r="B33" s="35"/>
      <c r="C33" s="36"/>
      <c r="D33" s="83"/>
      <c r="E33" s="84"/>
      <c r="F33" s="83"/>
      <c r="G33" s="84"/>
      <c r="H33" s="83"/>
      <c r="I33" s="84"/>
    </row>
    <row r="34" spans="1:9" x14ac:dyDescent="0.25">
      <c r="A34" s="34"/>
      <c r="B34" s="35"/>
      <c r="C34" s="36"/>
      <c r="D34" s="83"/>
      <c r="E34" s="84"/>
      <c r="F34" s="83"/>
      <c r="G34" s="84"/>
      <c r="H34" s="83"/>
      <c r="I34" s="84"/>
    </row>
    <row r="35" spans="1:9" x14ac:dyDescent="0.25">
      <c r="A35" s="33" t="s">
        <v>20</v>
      </c>
      <c r="B35" s="35"/>
      <c r="C35" s="36"/>
      <c r="D35" s="83"/>
      <c r="E35" s="84"/>
      <c r="F35" s="83"/>
      <c r="G35" s="84"/>
      <c r="H35" s="83"/>
      <c r="I35" s="84"/>
    </row>
    <row r="36" spans="1:9" x14ac:dyDescent="0.25">
      <c r="A36" s="33" t="s">
        <v>21</v>
      </c>
      <c r="B36" s="35"/>
      <c r="C36" s="36"/>
      <c r="D36" s="83"/>
      <c r="E36" s="84"/>
      <c r="F36" s="83"/>
      <c r="G36" s="84"/>
      <c r="H36" s="83"/>
      <c r="I36" s="84"/>
    </row>
    <row r="37" spans="1:9" x14ac:dyDescent="0.25">
      <c r="A37" s="34"/>
      <c r="B37" s="35"/>
      <c r="C37" s="36"/>
      <c r="D37" s="83"/>
      <c r="E37" s="84"/>
      <c r="F37" s="83"/>
      <c r="G37" s="84"/>
      <c r="H37" s="83"/>
      <c r="I37" s="84"/>
    </row>
    <row r="38" spans="1:9" ht="15.75" thickBot="1" x14ac:dyDescent="0.3">
      <c r="A38" s="28" t="s">
        <v>22</v>
      </c>
      <c r="B38" s="48">
        <v>750</v>
      </c>
      <c r="C38" s="49">
        <v>6455</v>
      </c>
      <c r="D38" s="85">
        <f t="shared" ref="D38:I38" si="11">SUM(D31)</f>
        <v>1307.6800000000108</v>
      </c>
      <c r="E38" s="95">
        <f t="shared" si="11"/>
        <v>7272.155000000017</v>
      </c>
      <c r="F38" s="85">
        <f t="shared" si="11"/>
        <v>1555.937400000013</v>
      </c>
      <c r="G38" s="95">
        <f t="shared" si="11"/>
        <v>7771.5360250000076</v>
      </c>
      <c r="H38" s="85">
        <f t="shared" si="11"/>
        <v>1803.5571009999976</v>
      </c>
      <c r="I38" s="95">
        <f t="shared" si="11"/>
        <v>8262.1078178750195</v>
      </c>
    </row>
    <row r="39" spans="1:9" ht="15.75" thickTop="1" x14ac:dyDescent="0.25"/>
    <row r="40" spans="1:9" x14ac:dyDescent="0.25">
      <c r="B40" s="47"/>
    </row>
  </sheetData>
  <mergeCells count="4">
    <mergeCell ref="D3:E3"/>
    <mergeCell ref="F3:G3"/>
    <mergeCell ref="H3:I3"/>
    <mergeCell ref="B3:C3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N11" sqref="N11"/>
    </sheetView>
  </sheetViews>
  <sheetFormatPr defaultRowHeight="15" x14ac:dyDescent="0.25"/>
  <cols>
    <col min="1" max="1" width="54.28515625" customWidth="1"/>
    <col min="2" max="3" width="0.140625" customWidth="1"/>
    <col min="4" max="9" width="13.140625" customWidth="1"/>
  </cols>
  <sheetData>
    <row r="1" spans="1:9" ht="26.25" x14ac:dyDescent="0.25">
      <c r="A1" s="137" t="s">
        <v>110</v>
      </c>
    </row>
    <row r="2" spans="1:9" ht="8.25" customHeight="1" x14ac:dyDescent="0.25">
      <c r="A2" s="137"/>
    </row>
    <row r="3" spans="1:9" ht="23.25" x14ac:dyDescent="0.35">
      <c r="A3" s="24" t="s">
        <v>70</v>
      </c>
    </row>
    <row r="4" spans="1:9" thickBot="1" x14ac:dyDescent="0.35"/>
    <row r="5" spans="1:9" ht="21" x14ac:dyDescent="0.4">
      <c r="A5" s="9" t="s">
        <v>25</v>
      </c>
      <c r="B5" s="75">
        <v>2014</v>
      </c>
      <c r="C5" s="76"/>
      <c r="D5" s="75">
        <v>2015</v>
      </c>
      <c r="E5" s="76"/>
      <c r="F5" s="79">
        <v>2016</v>
      </c>
      <c r="G5" s="79"/>
      <c r="H5" s="75">
        <v>2017</v>
      </c>
      <c r="I5" s="76"/>
    </row>
    <row r="6" spans="1:9" x14ac:dyDescent="0.25">
      <c r="A6" s="10" t="s">
        <v>26</v>
      </c>
      <c r="B6" s="43" t="s">
        <v>23</v>
      </c>
      <c r="C6" s="44" t="s">
        <v>24</v>
      </c>
      <c r="D6" s="43" t="s">
        <v>23</v>
      </c>
      <c r="E6" s="44" t="s">
        <v>24</v>
      </c>
      <c r="F6" s="30" t="s">
        <v>23</v>
      </c>
      <c r="G6" s="30" t="s">
        <v>24</v>
      </c>
      <c r="H6" s="43" t="s">
        <v>23</v>
      </c>
      <c r="I6" s="44" t="s">
        <v>24</v>
      </c>
    </row>
    <row r="7" spans="1:9" x14ac:dyDescent="0.25">
      <c r="A7" s="56" t="s">
        <v>27</v>
      </c>
      <c r="B7" s="40"/>
      <c r="C7" s="41"/>
      <c r="D7" s="96"/>
      <c r="E7" s="97"/>
      <c r="F7" s="98"/>
      <c r="G7" s="99"/>
      <c r="H7" s="96"/>
      <c r="I7" s="97"/>
    </row>
    <row r="8" spans="1:9" x14ac:dyDescent="0.25">
      <c r="A8" s="33" t="s">
        <v>28</v>
      </c>
      <c r="B8" s="35">
        <v>189265</v>
      </c>
      <c r="C8" s="36">
        <v>285571</v>
      </c>
      <c r="D8" s="100">
        <f>189265+7000-5690</f>
        <v>190575</v>
      </c>
      <c r="E8" s="101">
        <f>285571+7000-9760</f>
        <v>282811</v>
      </c>
      <c r="F8" s="102">
        <f>190575+7000-5690</f>
        <v>191885</v>
      </c>
      <c r="G8" s="103">
        <f>282811+7000-9760</f>
        <v>280051</v>
      </c>
      <c r="H8" s="100">
        <f>191885+7000-5690</f>
        <v>193195</v>
      </c>
      <c r="I8" s="101">
        <f>280051+7000-9760</f>
        <v>277291</v>
      </c>
    </row>
    <row r="9" spans="1:9" x14ac:dyDescent="0.25">
      <c r="A9" s="33" t="s">
        <v>29</v>
      </c>
      <c r="B9" s="35"/>
      <c r="C9" s="36">
        <v>38182</v>
      </c>
      <c r="D9" s="100"/>
      <c r="E9" s="101">
        <f>38182-2800</f>
        <v>35382</v>
      </c>
      <c r="F9" s="102"/>
      <c r="G9" s="103">
        <f>35382-2800</f>
        <v>32582</v>
      </c>
      <c r="H9" s="100"/>
      <c r="I9" s="101">
        <f>32582-2800</f>
        <v>29782</v>
      </c>
    </row>
    <row r="10" spans="1:9" x14ac:dyDescent="0.25">
      <c r="A10" s="33" t="s">
        <v>30</v>
      </c>
      <c r="B10" s="35">
        <v>849</v>
      </c>
      <c r="C10" s="36">
        <v>1620</v>
      </c>
      <c r="D10" s="100">
        <f>849-150</f>
        <v>699</v>
      </c>
      <c r="E10" s="101">
        <f>1620-150-200</f>
        <v>1270</v>
      </c>
      <c r="F10" s="102">
        <f>699-150</f>
        <v>549</v>
      </c>
      <c r="G10" s="103">
        <f>1270-150-200</f>
        <v>920</v>
      </c>
      <c r="H10" s="100">
        <f>549-150</f>
        <v>399</v>
      </c>
      <c r="I10" s="101">
        <f>920-150-200</f>
        <v>570</v>
      </c>
    </row>
    <row r="11" spans="1:9" x14ac:dyDescent="0.25">
      <c r="A11" s="33" t="s">
        <v>31</v>
      </c>
      <c r="B11" s="35"/>
      <c r="C11" s="36"/>
      <c r="D11" s="100"/>
      <c r="E11" s="101"/>
      <c r="F11" s="102">
        <v>0</v>
      </c>
      <c r="G11" s="103"/>
      <c r="H11" s="100"/>
      <c r="I11" s="101"/>
    </row>
    <row r="12" spans="1:9" ht="14.45" x14ac:dyDescent="0.3">
      <c r="A12" s="33"/>
      <c r="B12" s="35"/>
      <c r="C12" s="36"/>
      <c r="D12" s="100"/>
      <c r="E12" s="101"/>
      <c r="F12" s="102"/>
      <c r="G12" s="103"/>
      <c r="H12" s="100"/>
      <c r="I12" s="101"/>
    </row>
    <row r="13" spans="1:9" x14ac:dyDescent="0.25">
      <c r="A13" s="57" t="s">
        <v>32</v>
      </c>
      <c r="B13" s="35"/>
      <c r="C13" s="36"/>
      <c r="D13" s="100"/>
      <c r="E13" s="101"/>
      <c r="F13" s="102"/>
      <c r="G13" s="103"/>
      <c r="H13" s="100"/>
      <c r="I13" s="101"/>
    </row>
    <row r="14" spans="1:9" x14ac:dyDescent="0.25">
      <c r="A14" s="33" t="s">
        <v>33</v>
      </c>
      <c r="B14" s="35">
        <v>82319</v>
      </c>
      <c r="C14" s="36">
        <v>82319</v>
      </c>
      <c r="D14" s="100">
        <v>82319</v>
      </c>
      <c r="E14" s="101">
        <v>82319</v>
      </c>
      <c r="F14" s="102">
        <v>82319</v>
      </c>
      <c r="G14" s="103">
        <v>82319</v>
      </c>
      <c r="H14" s="100">
        <v>82319</v>
      </c>
      <c r="I14" s="101">
        <v>82319</v>
      </c>
    </row>
    <row r="15" spans="1:9" x14ac:dyDescent="0.25">
      <c r="A15" s="33" t="s">
        <v>34</v>
      </c>
      <c r="B15" s="35">
        <v>13388</v>
      </c>
      <c r="C15" s="36">
        <v>13388</v>
      </c>
      <c r="D15" s="100">
        <v>13388</v>
      </c>
      <c r="E15" s="101">
        <v>13388</v>
      </c>
      <c r="F15" s="102">
        <v>13388</v>
      </c>
      <c r="G15" s="103">
        <v>13388</v>
      </c>
      <c r="H15" s="100">
        <v>13388</v>
      </c>
      <c r="I15" s="101">
        <v>13388</v>
      </c>
    </row>
    <row r="16" spans="1:9" x14ac:dyDescent="0.25">
      <c r="A16" s="33" t="s">
        <v>35</v>
      </c>
      <c r="B16" s="35"/>
      <c r="C16" s="36"/>
      <c r="D16" s="100"/>
      <c r="E16" s="101"/>
      <c r="F16" s="102"/>
      <c r="G16" s="103"/>
      <c r="H16" s="100"/>
      <c r="I16" s="101"/>
    </row>
    <row r="17" spans="1:9" ht="15.75" thickBot="1" x14ac:dyDescent="0.3">
      <c r="A17" s="58" t="s">
        <v>36</v>
      </c>
      <c r="B17" s="54"/>
      <c r="C17" s="55"/>
      <c r="D17" s="104"/>
      <c r="E17" s="105"/>
      <c r="F17" s="106"/>
      <c r="G17" s="107"/>
      <c r="H17" s="104"/>
      <c r="I17" s="105"/>
    </row>
    <row r="18" spans="1:9" ht="25.5" customHeight="1" thickBot="1" x14ac:dyDescent="0.3">
      <c r="A18" s="12" t="s">
        <v>37</v>
      </c>
      <c r="B18" s="52">
        <f>SUM(B7:B17)</f>
        <v>285821</v>
      </c>
      <c r="C18" s="52">
        <f t="shared" ref="C18:I18" si="0">SUM(C7:C17)</f>
        <v>421080</v>
      </c>
      <c r="D18" s="108">
        <f t="shared" si="0"/>
        <v>286981</v>
      </c>
      <c r="E18" s="108">
        <f t="shared" si="0"/>
        <v>415170</v>
      </c>
      <c r="F18" s="108">
        <f t="shared" si="0"/>
        <v>288141</v>
      </c>
      <c r="G18" s="108">
        <f t="shared" si="0"/>
        <v>409260</v>
      </c>
      <c r="H18" s="108">
        <f t="shared" si="0"/>
        <v>289301</v>
      </c>
      <c r="I18" s="108">
        <f t="shared" si="0"/>
        <v>403350</v>
      </c>
    </row>
    <row r="19" spans="1:9" thickTop="1" x14ac:dyDescent="0.3">
      <c r="A19" s="8"/>
      <c r="B19" s="7"/>
      <c r="C19" s="7"/>
      <c r="D19" s="109"/>
      <c r="E19" s="109"/>
      <c r="F19" s="109"/>
      <c r="G19" s="109"/>
      <c r="H19" s="109"/>
      <c r="I19" s="109"/>
    </row>
    <row r="20" spans="1:9" x14ac:dyDescent="0.25">
      <c r="A20" s="10" t="s">
        <v>38</v>
      </c>
      <c r="B20" s="11"/>
      <c r="C20" s="11"/>
      <c r="D20" s="109"/>
      <c r="E20" s="109"/>
      <c r="F20" s="109"/>
      <c r="G20" s="109"/>
      <c r="H20" s="109"/>
      <c r="I20" s="109"/>
    </row>
    <row r="21" spans="1:9" x14ac:dyDescent="0.25">
      <c r="A21" s="5" t="s">
        <v>39</v>
      </c>
      <c r="B21" s="50"/>
      <c r="C21" s="50"/>
      <c r="D21" s="110"/>
      <c r="E21" s="110"/>
      <c r="F21" s="110"/>
      <c r="G21" s="110"/>
      <c r="H21" s="110"/>
      <c r="I21" s="110"/>
    </row>
    <row r="22" spans="1:9" x14ac:dyDescent="0.25">
      <c r="A22" s="3" t="s">
        <v>40</v>
      </c>
      <c r="B22" s="50"/>
      <c r="C22" s="50"/>
      <c r="D22" s="110"/>
      <c r="E22" s="110"/>
      <c r="F22" s="110"/>
      <c r="G22" s="110"/>
      <c r="H22" s="110"/>
      <c r="I22" s="110"/>
    </row>
    <row r="23" spans="1:9" x14ac:dyDescent="0.25">
      <c r="A23" s="3" t="s">
        <v>41</v>
      </c>
      <c r="B23" s="50">
        <v>3827</v>
      </c>
      <c r="C23" s="50">
        <v>5088</v>
      </c>
      <c r="D23" s="110">
        <v>3827</v>
      </c>
      <c r="E23" s="110">
        <v>5088</v>
      </c>
      <c r="F23" s="110">
        <v>3827</v>
      </c>
      <c r="G23" s="110">
        <v>5088</v>
      </c>
      <c r="H23" s="110">
        <v>3827</v>
      </c>
      <c r="I23" s="110">
        <v>5088</v>
      </c>
    </row>
    <row r="24" spans="1:9" x14ac:dyDescent="0.25">
      <c r="A24" s="3" t="s">
        <v>42</v>
      </c>
      <c r="B24" s="50"/>
      <c r="C24" s="50"/>
      <c r="D24" s="110"/>
      <c r="E24" s="110"/>
      <c r="F24" s="110"/>
      <c r="G24" s="110"/>
      <c r="H24" s="110"/>
      <c r="I24" s="110"/>
    </row>
    <row r="25" spans="1:9" x14ac:dyDescent="0.25">
      <c r="A25" s="3" t="s">
        <v>43</v>
      </c>
      <c r="B25" s="50"/>
      <c r="C25" s="50"/>
      <c r="D25" s="110"/>
      <c r="E25" s="110"/>
      <c r="F25" s="110"/>
      <c r="G25" s="110"/>
      <c r="H25" s="110"/>
      <c r="I25" s="110"/>
    </row>
    <row r="26" spans="1:9" x14ac:dyDescent="0.25">
      <c r="A26" s="3" t="s">
        <v>44</v>
      </c>
      <c r="B26" s="50">
        <v>136227</v>
      </c>
      <c r="C26" s="50"/>
      <c r="D26" s="110">
        <v>136227</v>
      </c>
      <c r="E26" s="110"/>
      <c r="F26" s="110">
        <v>136227</v>
      </c>
      <c r="G26" s="110"/>
      <c r="H26" s="110">
        <v>136227</v>
      </c>
      <c r="I26" s="110"/>
    </row>
    <row r="27" spans="1:9" x14ac:dyDescent="0.25">
      <c r="A27" s="3" t="s">
        <v>45</v>
      </c>
      <c r="B27" s="50">
        <v>23895</v>
      </c>
      <c r="C27" s="50">
        <v>32396</v>
      </c>
      <c r="D27" s="110">
        <v>23895</v>
      </c>
      <c r="E27" s="110">
        <v>32396</v>
      </c>
      <c r="F27" s="110">
        <v>23895</v>
      </c>
      <c r="G27" s="110">
        <v>32396</v>
      </c>
      <c r="H27" s="110">
        <v>23895</v>
      </c>
      <c r="I27" s="110">
        <v>32396</v>
      </c>
    </row>
    <row r="28" spans="1:9" ht="14.45" x14ac:dyDescent="0.3">
      <c r="A28" s="3"/>
      <c r="B28" s="50"/>
      <c r="C28" s="50"/>
      <c r="D28" s="110"/>
      <c r="E28" s="110"/>
      <c r="F28" s="110"/>
      <c r="G28" s="110"/>
      <c r="H28" s="110"/>
      <c r="I28" s="110"/>
    </row>
    <row r="29" spans="1:9" x14ac:dyDescent="0.25">
      <c r="A29" s="5" t="s">
        <v>46</v>
      </c>
      <c r="B29" s="50">
        <v>59895</v>
      </c>
      <c r="C29" s="50">
        <v>60348</v>
      </c>
      <c r="D29" s="110">
        <f>59895+1308+5840-7000-1951</f>
        <v>58092</v>
      </c>
      <c r="E29" s="110">
        <f>60348+7272+12910-7000-2832</f>
        <v>70698</v>
      </c>
      <c r="F29" s="110">
        <f>58092+1556+5840-7000-1951</f>
        <v>56537</v>
      </c>
      <c r="G29" s="110">
        <f>70698+7772+12910-7000-2832</f>
        <v>81548</v>
      </c>
      <c r="H29" s="110">
        <f>56537+1804+5840-7000-1951</f>
        <v>55230</v>
      </c>
      <c r="I29" s="110">
        <f>81548+8262+12910-7000-2832</f>
        <v>92888</v>
      </c>
    </row>
    <row r="30" spans="1:9" x14ac:dyDescent="0.25">
      <c r="A30" s="22" t="s">
        <v>47</v>
      </c>
      <c r="B30" s="59"/>
      <c r="C30" s="59"/>
      <c r="D30" s="111"/>
      <c r="E30" s="111"/>
      <c r="F30" s="111"/>
      <c r="G30" s="111"/>
      <c r="H30" s="111"/>
      <c r="I30" s="111"/>
    </row>
    <row r="31" spans="1:9" ht="15.75" thickBot="1" x14ac:dyDescent="0.3">
      <c r="A31" s="13" t="s">
        <v>48</v>
      </c>
      <c r="B31" s="60">
        <f>SUM(B21:B30)</f>
        <v>223844</v>
      </c>
      <c r="C31" s="60">
        <f t="shared" ref="C31:I31" si="1">SUM(C21:C30)</f>
        <v>97832</v>
      </c>
      <c r="D31" s="112">
        <f t="shared" si="1"/>
        <v>222041</v>
      </c>
      <c r="E31" s="112">
        <f t="shared" si="1"/>
        <v>108182</v>
      </c>
      <c r="F31" s="112">
        <f t="shared" si="1"/>
        <v>220486</v>
      </c>
      <c r="G31" s="112">
        <f t="shared" si="1"/>
        <v>119032</v>
      </c>
      <c r="H31" s="112">
        <f t="shared" si="1"/>
        <v>219179</v>
      </c>
      <c r="I31" s="112">
        <f t="shared" si="1"/>
        <v>130372</v>
      </c>
    </row>
    <row r="32" spans="1:9" ht="15.75" thickTop="1" x14ac:dyDescent="0.25">
      <c r="A32" s="8"/>
      <c r="B32" s="7"/>
      <c r="C32" s="7"/>
      <c r="D32" s="109"/>
      <c r="E32" s="109"/>
      <c r="F32" s="109"/>
      <c r="G32" s="109"/>
      <c r="H32" s="109"/>
      <c r="I32" s="109"/>
    </row>
    <row r="33" spans="1:9" ht="15.75" thickBot="1" x14ac:dyDescent="0.3">
      <c r="A33" s="13" t="s">
        <v>49</v>
      </c>
      <c r="B33" s="65">
        <f>SUM(B18+B31)</f>
        <v>509665</v>
      </c>
      <c r="C33" s="65">
        <f t="shared" ref="C33:I33" si="2">SUM(C18+C31)</f>
        <v>518912</v>
      </c>
      <c r="D33" s="113">
        <f t="shared" si="2"/>
        <v>509022</v>
      </c>
      <c r="E33" s="113">
        <f t="shared" si="2"/>
        <v>523352</v>
      </c>
      <c r="F33" s="113">
        <f t="shared" si="2"/>
        <v>508627</v>
      </c>
      <c r="G33" s="113">
        <f t="shared" si="2"/>
        <v>528292</v>
      </c>
      <c r="H33" s="113">
        <f t="shared" si="2"/>
        <v>508480</v>
      </c>
      <c r="I33" s="113">
        <f t="shared" si="2"/>
        <v>533722</v>
      </c>
    </row>
    <row r="34" spans="1:9" ht="15.75" thickTop="1" x14ac:dyDescent="0.25">
      <c r="A34" s="8"/>
      <c r="B34" s="7"/>
      <c r="C34" s="7"/>
      <c r="D34" s="109"/>
      <c r="E34" s="109"/>
      <c r="F34" s="109"/>
      <c r="G34" s="109"/>
      <c r="H34" s="109"/>
      <c r="I34" s="109"/>
    </row>
    <row r="35" spans="1:9" x14ac:dyDescent="0.25">
      <c r="A35" s="14" t="s">
        <v>50</v>
      </c>
      <c r="B35" s="19"/>
      <c r="C35" s="19"/>
      <c r="D35" s="109"/>
      <c r="E35" s="109"/>
      <c r="F35" s="109"/>
      <c r="G35" s="109"/>
      <c r="H35" s="109"/>
      <c r="I35" s="109"/>
    </row>
    <row r="36" spans="1:9" x14ac:dyDescent="0.25">
      <c r="A36" s="6" t="s">
        <v>51</v>
      </c>
      <c r="B36" s="50"/>
      <c r="C36" s="50"/>
      <c r="D36" s="110"/>
      <c r="E36" s="110"/>
      <c r="F36" s="110"/>
      <c r="G36" s="110"/>
      <c r="H36" s="110"/>
      <c r="I36" s="110"/>
    </row>
    <row r="37" spans="1:9" x14ac:dyDescent="0.25">
      <c r="A37" s="15" t="s">
        <v>52</v>
      </c>
      <c r="B37" s="50">
        <v>441311</v>
      </c>
      <c r="C37" s="50">
        <v>427570</v>
      </c>
      <c r="D37" s="110">
        <f>441311+1308</f>
        <v>442619</v>
      </c>
      <c r="E37" s="110">
        <f>427570+7272</f>
        <v>434842</v>
      </c>
      <c r="F37" s="110">
        <f>442619+1556</f>
        <v>444175</v>
      </c>
      <c r="G37" s="110">
        <f>434842+7772</f>
        <v>442614</v>
      </c>
      <c r="H37" s="110">
        <f>444175+1804</f>
        <v>445979</v>
      </c>
      <c r="I37" s="110">
        <f>442614+8262</f>
        <v>450876</v>
      </c>
    </row>
    <row r="38" spans="1:9" x14ac:dyDescent="0.25">
      <c r="A38" s="15" t="s">
        <v>21</v>
      </c>
      <c r="B38" s="50"/>
      <c r="C38" s="50"/>
      <c r="D38" s="110"/>
      <c r="E38" s="110"/>
      <c r="F38" s="110"/>
      <c r="G38" s="110"/>
      <c r="H38" s="110"/>
      <c r="I38" s="110"/>
    </row>
    <row r="39" spans="1:9" x14ac:dyDescent="0.25">
      <c r="A39" s="15"/>
      <c r="B39" s="50"/>
      <c r="C39" s="50"/>
      <c r="D39" s="110"/>
      <c r="E39" s="110"/>
      <c r="F39" s="110"/>
      <c r="G39" s="110"/>
      <c r="H39" s="110"/>
      <c r="I39" s="110"/>
    </row>
    <row r="40" spans="1:9" x14ac:dyDescent="0.25">
      <c r="A40" s="16" t="s">
        <v>53</v>
      </c>
      <c r="B40" s="50"/>
      <c r="C40" s="50"/>
      <c r="D40" s="110"/>
      <c r="E40" s="110"/>
      <c r="F40" s="110"/>
      <c r="G40" s="110"/>
      <c r="H40" s="110"/>
      <c r="I40" s="110"/>
    </row>
    <row r="41" spans="1:9" x14ac:dyDescent="0.25">
      <c r="A41" s="15" t="s">
        <v>54</v>
      </c>
      <c r="B41" s="50"/>
      <c r="C41" s="50"/>
      <c r="D41" s="110"/>
      <c r="E41" s="110"/>
      <c r="F41" s="110"/>
      <c r="G41" s="110"/>
      <c r="H41" s="110"/>
      <c r="I41" s="110"/>
    </row>
    <row r="42" spans="1:9" x14ac:dyDescent="0.25">
      <c r="A42" s="15" t="s">
        <v>55</v>
      </c>
      <c r="B42" s="50"/>
      <c r="C42" s="50"/>
      <c r="D42" s="110"/>
      <c r="E42" s="110"/>
      <c r="F42" s="110"/>
      <c r="G42" s="110"/>
      <c r="H42" s="110"/>
      <c r="I42" s="110"/>
    </row>
    <row r="43" spans="1:9" x14ac:dyDescent="0.25">
      <c r="A43" s="15"/>
      <c r="B43" s="50"/>
      <c r="C43" s="50"/>
      <c r="D43" s="110"/>
      <c r="E43" s="110"/>
      <c r="F43" s="110"/>
      <c r="G43" s="110"/>
      <c r="H43" s="110"/>
      <c r="I43" s="110"/>
    </row>
    <row r="44" spans="1:9" x14ac:dyDescent="0.25">
      <c r="A44" s="16" t="s">
        <v>56</v>
      </c>
      <c r="B44" s="50"/>
      <c r="C44" s="50"/>
      <c r="D44" s="110"/>
      <c r="E44" s="110"/>
      <c r="F44" s="110"/>
      <c r="G44" s="110"/>
      <c r="H44" s="110"/>
      <c r="I44" s="110"/>
    </row>
    <row r="45" spans="1:9" x14ac:dyDescent="0.25">
      <c r="A45" s="15" t="s">
        <v>57</v>
      </c>
      <c r="B45" s="50">
        <v>43958</v>
      </c>
      <c r="C45" s="50">
        <v>67120</v>
      </c>
      <c r="D45" s="110">
        <f>43958-1951</f>
        <v>42007</v>
      </c>
      <c r="E45" s="110">
        <f>67120-2832</f>
        <v>64288</v>
      </c>
      <c r="F45" s="110">
        <f>42007-1951</f>
        <v>40056</v>
      </c>
      <c r="G45" s="110">
        <f>64288-2832</f>
        <v>61456</v>
      </c>
      <c r="H45" s="110">
        <f>40056-1951</f>
        <v>38105</v>
      </c>
      <c r="I45" s="110">
        <f>61456-2832</f>
        <v>58624</v>
      </c>
    </row>
    <row r="46" spans="1:9" x14ac:dyDescent="0.25">
      <c r="A46" s="15" t="s">
        <v>58</v>
      </c>
      <c r="B46" s="50"/>
      <c r="C46" s="50"/>
      <c r="D46" s="110"/>
      <c r="E46" s="110"/>
      <c r="F46" s="110"/>
      <c r="G46" s="110"/>
      <c r="H46" s="110"/>
      <c r="I46" s="110"/>
    </row>
    <row r="47" spans="1:9" x14ac:dyDescent="0.25">
      <c r="A47" s="15" t="s">
        <v>59</v>
      </c>
      <c r="B47" s="50"/>
      <c r="C47" s="50"/>
      <c r="D47" s="110"/>
      <c r="E47" s="110"/>
      <c r="F47" s="110"/>
      <c r="G47" s="110"/>
      <c r="H47" s="110"/>
      <c r="I47" s="110"/>
    </row>
    <row r="48" spans="1:9" x14ac:dyDescent="0.25">
      <c r="A48" s="15" t="s">
        <v>60</v>
      </c>
      <c r="B48" s="50"/>
      <c r="C48" s="50"/>
      <c r="D48" s="110"/>
      <c r="E48" s="110"/>
      <c r="F48" s="110"/>
      <c r="G48" s="110"/>
      <c r="H48" s="110"/>
      <c r="I48" s="110"/>
    </row>
    <row r="49" spans="1:9" x14ac:dyDescent="0.25">
      <c r="A49" s="15"/>
      <c r="B49" s="50"/>
      <c r="C49" s="50"/>
      <c r="D49" s="110"/>
      <c r="E49" s="110"/>
      <c r="F49" s="110"/>
      <c r="G49" s="110"/>
      <c r="H49" s="110"/>
      <c r="I49" s="110"/>
    </row>
    <row r="50" spans="1:9" x14ac:dyDescent="0.25">
      <c r="A50" s="16" t="s">
        <v>61</v>
      </c>
      <c r="B50" s="50"/>
      <c r="C50" s="50"/>
      <c r="D50" s="110"/>
      <c r="E50" s="110"/>
      <c r="F50" s="110"/>
      <c r="G50" s="110"/>
      <c r="H50" s="110"/>
      <c r="I50" s="110"/>
    </row>
    <row r="51" spans="1:9" x14ac:dyDescent="0.25">
      <c r="A51" s="15" t="s">
        <v>62</v>
      </c>
      <c r="B51" s="50"/>
      <c r="C51" s="50"/>
      <c r="D51" s="110"/>
      <c r="E51" s="110"/>
      <c r="F51" s="110"/>
      <c r="G51" s="110"/>
      <c r="H51" s="110"/>
      <c r="I51" s="110"/>
    </row>
    <row r="52" spans="1:9" x14ac:dyDescent="0.25">
      <c r="A52" s="15" t="s">
        <v>63</v>
      </c>
      <c r="B52" s="50">
        <v>14196</v>
      </c>
      <c r="C52" s="50">
        <v>16835</v>
      </c>
      <c r="D52" s="110">
        <v>14196</v>
      </c>
      <c r="E52" s="110">
        <v>16835</v>
      </c>
      <c r="F52" s="110">
        <v>14196</v>
      </c>
      <c r="G52" s="110">
        <v>16835</v>
      </c>
      <c r="H52" s="110">
        <v>14196</v>
      </c>
      <c r="I52" s="110">
        <v>16835</v>
      </c>
    </row>
    <row r="53" spans="1:9" x14ac:dyDescent="0.25">
      <c r="A53" s="15" t="s">
        <v>64</v>
      </c>
      <c r="B53" s="50">
        <v>1951</v>
      </c>
      <c r="C53" s="50">
        <v>2832</v>
      </c>
      <c r="D53" s="110">
        <v>1951</v>
      </c>
      <c r="E53" s="110">
        <v>2832</v>
      </c>
      <c r="F53" s="110">
        <v>1951</v>
      </c>
      <c r="G53" s="110">
        <v>2832</v>
      </c>
      <c r="H53" s="110">
        <v>1951</v>
      </c>
      <c r="I53" s="110">
        <v>2832</v>
      </c>
    </row>
    <row r="54" spans="1:9" x14ac:dyDescent="0.25">
      <c r="A54" s="15" t="s">
        <v>65</v>
      </c>
      <c r="B54" s="50"/>
      <c r="C54" s="50"/>
      <c r="D54" s="110"/>
      <c r="E54" s="110"/>
      <c r="F54" s="110"/>
      <c r="G54" s="110"/>
      <c r="H54" s="110"/>
      <c r="I54" s="110"/>
    </row>
    <row r="55" spans="1:9" x14ac:dyDescent="0.25">
      <c r="A55" s="15" t="s">
        <v>66</v>
      </c>
      <c r="B55" s="50"/>
      <c r="C55" s="50"/>
      <c r="D55" s="110"/>
      <c r="E55" s="110"/>
      <c r="F55" s="110"/>
      <c r="G55" s="110"/>
      <c r="H55" s="110"/>
      <c r="I55" s="110"/>
    </row>
    <row r="56" spans="1:9" x14ac:dyDescent="0.25">
      <c r="A56" s="15" t="s">
        <v>67</v>
      </c>
      <c r="B56" s="50">
        <v>3741</v>
      </c>
      <c r="C56" s="50"/>
      <c r="D56" s="110">
        <v>3741</v>
      </c>
      <c r="E56" s="110"/>
      <c r="F56" s="110">
        <v>3741</v>
      </c>
      <c r="G56" s="110"/>
      <c r="H56" s="110">
        <v>3741</v>
      </c>
      <c r="I56" s="110"/>
    </row>
    <row r="57" spans="1:9" x14ac:dyDescent="0.25">
      <c r="A57" s="15" t="s">
        <v>68</v>
      </c>
      <c r="B57" s="50">
        <v>4508</v>
      </c>
      <c r="C57" s="50">
        <v>4555</v>
      </c>
      <c r="D57" s="110">
        <v>4508</v>
      </c>
      <c r="E57" s="110">
        <v>4555</v>
      </c>
      <c r="F57" s="110">
        <v>4508</v>
      </c>
      <c r="G57" s="110">
        <v>4555</v>
      </c>
      <c r="H57" s="110">
        <v>4508</v>
      </c>
      <c r="I57" s="110">
        <v>4555</v>
      </c>
    </row>
    <row r="58" spans="1:9" x14ac:dyDescent="0.25">
      <c r="A58" s="15"/>
      <c r="B58" s="50"/>
      <c r="C58" s="50"/>
      <c r="D58" s="110"/>
      <c r="E58" s="110"/>
      <c r="F58" s="110"/>
      <c r="G58" s="110"/>
      <c r="H58" s="110"/>
      <c r="I58" s="110"/>
    </row>
    <row r="59" spans="1:9" ht="15.75" thickBot="1" x14ac:dyDescent="0.3">
      <c r="A59" s="64"/>
      <c r="B59" s="51"/>
      <c r="C59" s="51"/>
      <c r="D59" s="114"/>
      <c r="E59" s="114"/>
      <c r="F59" s="114"/>
      <c r="G59" s="114"/>
      <c r="H59" s="114"/>
      <c r="I59" s="114"/>
    </row>
    <row r="60" spans="1:9" ht="15.75" thickBot="1" x14ac:dyDescent="0.3">
      <c r="A60" s="62" t="s">
        <v>50</v>
      </c>
      <c r="B60" s="63">
        <f>SUM(B36:B59)</f>
        <v>509665</v>
      </c>
      <c r="C60" s="63">
        <f t="shared" ref="C60:I60" si="3">SUM(C36:C59)</f>
        <v>518912</v>
      </c>
      <c r="D60" s="115">
        <f t="shared" si="3"/>
        <v>509022</v>
      </c>
      <c r="E60" s="115">
        <f t="shared" si="3"/>
        <v>523352</v>
      </c>
      <c r="F60" s="115">
        <f t="shared" si="3"/>
        <v>508627</v>
      </c>
      <c r="G60" s="115">
        <f t="shared" si="3"/>
        <v>528292</v>
      </c>
      <c r="H60" s="115">
        <f t="shared" si="3"/>
        <v>508480</v>
      </c>
      <c r="I60" s="115">
        <f t="shared" si="3"/>
        <v>533722</v>
      </c>
    </row>
    <row r="61" spans="1:9" ht="15.75" thickTop="1" x14ac:dyDescent="0.25">
      <c r="A61" s="61"/>
      <c r="B61" s="66"/>
      <c r="C61" s="20"/>
      <c r="D61" s="109"/>
      <c r="E61" s="109"/>
      <c r="F61" s="109"/>
      <c r="G61" s="109"/>
      <c r="H61" s="109"/>
      <c r="I61" s="109"/>
    </row>
    <row r="62" spans="1:9" x14ac:dyDescent="0.25">
      <c r="A62" s="17" t="s">
        <v>69</v>
      </c>
      <c r="B62" s="67">
        <f>SUM(B33-B60)</f>
        <v>0</v>
      </c>
      <c r="C62" s="67">
        <f t="shared" ref="C62:I62" si="4">SUM(C33-C60)</f>
        <v>0</v>
      </c>
      <c r="D62" s="116">
        <f t="shared" si="4"/>
        <v>0</v>
      </c>
      <c r="E62" s="116">
        <f t="shared" si="4"/>
        <v>0</v>
      </c>
      <c r="F62" s="116">
        <f t="shared" si="4"/>
        <v>0</v>
      </c>
      <c r="G62" s="116">
        <f t="shared" si="4"/>
        <v>0</v>
      </c>
      <c r="H62" s="116">
        <f t="shared" si="4"/>
        <v>0</v>
      </c>
      <c r="I62" s="116">
        <f t="shared" si="4"/>
        <v>0</v>
      </c>
    </row>
    <row r="63" spans="1:9" x14ac:dyDescent="0.25">
      <c r="A63" s="21"/>
      <c r="B63" s="21"/>
    </row>
    <row r="64" spans="1:9" x14ac:dyDescent="0.25">
      <c r="A64" s="21"/>
      <c r="B64" s="21"/>
    </row>
    <row r="65" spans="1:2" x14ac:dyDescent="0.25">
      <c r="A65" s="21"/>
      <c r="B65" s="21"/>
    </row>
    <row r="66" spans="1:2" x14ac:dyDescent="0.25">
      <c r="A66" s="21"/>
      <c r="B66" s="21"/>
    </row>
  </sheetData>
  <mergeCells count="4">
    <mergeCell ref="B5:C5"/>
    <mergeCell ref="D5:E5"/>
    <mergeCell ref="F5:G5"/>
    <mergeCell ref="H5:I5"/>
  </mergeCells>
  <pageMargins left="0.25" right="0.25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zoomScaleNormal="100" workbookViewId="0">
      <selection activeCell="N12" sqref="N12"/>
    </sheetView>
  </sheetViews>
  <sheetFormatPr defaultRowHeight="15" x14ac:dyDescent="0.25"/>
  <cols>
    <col min="1" max="1" width="55.28515625" customWidth="1"/>
    <col min="2" max="2" width="18.5703125" hidden="1" customWidth="1"/>
    <col min="3" max="3" width="20.85546875" hidden="1" customWidth="1"/>
    <col min="4" max="9" width="13.7109375" customWidth="1"/>
  </cols>
  <sheetData>
    <row r="1" spans="1:10" ht="26.25" x14ac:dyDescent="0.25">
      <c r="A1" s="137" t="s">
        <v>110</v>
      </c>
    </row>
    <row r="2" spans="1:10" ht="17.25" customHeight="1" thickBot="1" x14ac:dyDescent="0.3">
      <c r="A2" s="137"/>
    </row>
    <row r="3" spans="1:10" ht="23.25" customHeight="1" x14ac:dyDescent="0.35">
      <c r="A3" s="24" t="s">
        <v>108</v>
      </c>
      <c r="B3" s="75">
        <v>2014</v>
      </c>
      <c r="C3" s="79"/>
      <c r="D3" s="75">
        <v>2015</v>
      </c>
      <c r="E3" s="76"/>
      <c r="F3" s="79">
        <v>2016</v>
      </c>
      <c r="G3" s="76"/>
      <c r="H3" s="75">
        <v>2017</v>
      </c>
      <c r="I3" s="76"/>
    </row>
    <row r="4" spans="1:10" ht="14.45" x14ac:dyDescent="0.3">
      <c r="B4" s="43" t="s">
        <v>23</v>
      </c>
      <c r="C4" s="30" t="s">
        <v>24</v>
      </c>
      <c r="D4" s="43" t="s">
        <v>23</v>
      </c>
      <c r="E4" s="44" t="s">
        <v>24</v>
      </c>
      <c r="F4" s="30" t="s">
        <v>23</v>
      </c>
      <c r="G4" s="44" t="s">
        <v>24</v>
      </c>
      <c r="H4" s="43" t="s">
        <v>23</v>
      </c>
      <c r="I4" s="44" t="s">
        <v>24</v>
      </c>
    </row>
    <row r="5" spans="1:10" x14ac:dyDescent="0.25">
      <c r="A5" s="32" t="s">
        <v>71</v>
      </c>
      <c r="B5" s="35"/>
      <c r="C5" s="53"/>
      <c r="D5" s="117"/>
      <c r="E5" s="118"/>
      <c r="F5" s="119"/>
      <c r="G5" s="118"/>
      <c r="H5" s="117"/>
      <c r="I5" s="118"/>
      <c r="J5" s="120"/>
    </row>
    <row r="6" spans="1:10" x14ac:dyDescent="0.25">
      <c r="A6" s="33" t="s">
        <v>72</v>
      </c>
      <c r="B6" s="35">
        <f>SUM('2014-rekstur'!B38)</f>
        <v>750</v>
      </c>
      <c r="C6" s="53">
        <f>SUM('2014-rekstur'!C38)</f>
        <v>6455</v>
      </c>
      <c r="D6" s="117">
        <f>SUM('2014-rekstur'!D38)</f>
        <v>1307.6800000000108</v>
      </c>
      <c r="E6" s="118">
        <f>SUM('2014-rekstur'!E38)</f>
        <v>7272.155000000017</v>
      </c>
      <c r="F6" s="119">
        <f>SUM('2014-rekstur'!F38)</f>
        <v>1555.937400000013</v>
      </c>
      <c r="G6" s="118">
        <f>SUM('2014-rekstur'!G38)</f>
        <v>7771.5360250000076</v>
      </c>
      <c r="H6" s="117">
        <f>SUM('2014-rekstur'!H38)</f>
        <v>1803.5571009999976</v>
      </c>
      <c r="I6" s="118">
        <f>SUM('2014-rekstur'!I38)</f>
        <v>8262.1078178750195</v>
      </c>
      <c r="J6" s="120"/>
    </row>
    <row r="7" spans="1:10" x14ac:dyDescent="0.25">
      <c r="A7" s="33"/>
      <c r="B7" s="35"/>
      <c r="C7" s="53"/>
      <c r="D7" s="117"/>
      <c r="E7" s="118"/>
      <c r="F7" s="119"/>
      <c r="G7" s="118"/>
      <c r="H7" s="117"/>
      <c r="I7" s="118"/>
      <c r="J7" s="120"/>
    </row>
    <row r="8" spans="1:10" x14ac:dyDescent="0.25">
      <c r="A8" s="57" t="s">
        <v>73</v>
      </c>
      <c r="B8" s="35"/>
      <c r="C8" s="53"/>
      <c r="D8" s="117"/>
      <c r="E8" s="118"/>
      <c r="F8" s="119"/>
      <c r="G8" s="118"/>
      <c r="H8" s="117"/>
      <c r="I8" s="118"/>
      <c r="J8" s="120"/>
    </row>
    <row r="9" spans="1:10" x14ac:dyDescent="0.25">
      <c r="A9" s="33" t="s">
        <v>74</v>
      </c>
      <c r="B9" s="35"/>
      <c r="C9" s="53"/>
      <c r="D9" s="117"/>
      <c r="E9" s="118"/>
      <c r="F9" s="119"/>
      <c r="G9" s="118"/>
      <c r="H9" s="117"/>
      <c r="I9" s="118"/>
      <c r="J9" s="120"/>
    </row>
    <row r="10" spans="1:10" x14ac:dyDescent="0.25">
      <c r="A10" s="33" t="s">
        <v>75</v>
      </c>
      <c r="B10" s="35">
        <v>5840</v>
      </c>
      <c r="C10" s="53">
        <v>12910</v>
      </c>
      <c r="D10" s="117">
        <v>5840</v>
      </c>
      <c r="E10" s="121">
        <v>12910</v>
      </c>
      <c r="F10" s="117">
        <v>5840</v>
      </c>
      <c r="G10" s="121">
        <v>12910</v>
      </c>
      <c r="H10" s="117">
        <v>5840</v>
      </c>
      <c r="I10" s="118">
        <v>12910</v>
      </c>
      <c r="J10" s="120"/>
    </row>
    <row r="11" spans="1:10" x14ac:dyDescent="0.25">
      <c r="A11" s="33" t="s">
        <v>76</v>
      </c>
      <c r="B11" s="35"/>
      <c r="C11" s="53"/>
      <c r="D11" s="117"/>
      <c r="E11" s="118"/>
      <c r="F11" s="119"/>
      <c r="G11" s="118"/>
      <c r="H11" s="117"/>
      <c r="I11" s="118"/>
      <c r="J11" s="120"/>
    </row>
    <row r="12" spans="1:10" x14ac:dyDescent="0.25">
      <c r="A12" s="33" t="s">
        <v>77</v>
      </c>
      <c r="B12" s="35"/>
      <c r="C12" s="53"/>
      <c r="D12" s="117"/>
      <c r="E12" s="118"/>
      <c r="F12" s="119"/>
      <c r="G12" s="118"/>
      <c r="H12" s="117"/>
      <c r="I12" s="118"/>
      <c r="J12" s="120"/>
    </row>
    <row r="13" spans="1:10" x14ac:dyDescent="0.25">
      <c r="A13" s="73" t="s">
        <v>78</v>
      </c>
      <c r="B13" s="71"/>
      <c r="C13" s="69"/>
      <c r="D13" s="122"/>
      <c r="E13" s="123"/>
      <c r="F13" s="124"/>
      <c r="G13" s="123"/>
      <c r="H13" s="122"/>
      <c r="I13" s="123"/>
      <c r="J13" s="120"/>
    </row>
    <row r="14" spans="1:10" ht="15.75" thickBot="1" x14ac:dyDescent="0.3">
      <c r="A14" s="74" t="s">
        <v>79</v>
      </c>
      <c r="B14" s="72">
        <f>SUM(B5:B13)</f>
        <v>6590</v>
      </c>
      <c r="C14" s="60">
        <f t="shared" ref="C14:I14" si="0">SUM(C5:C13)</f>
        <v>19365</v>
      </c>
      <c r="D14" s="125">
        <f t="shared" si="0"/>
        <v>7147.6800000000112</v>
      </c>
      <c r="E14" s="126">
        <f t="shared" si="0"/>
        <v>20182.155000000017</v>
      </c>
      <c r="F14" s="127">
        <f t="shared" si="0"/>
        <v>7395.9374000000134</v>
      </c>
      <c r="G14" s="126">
        <f t="shared" si="0"/>
        <v>20681.536025000009</v>
      </c>
      <c r="H14" s="125">
        <f t="shared" si="0"/>
        <v>7643.5571009999976</v>
      </c>
      <c r="I14" s="126">
        <f t="shared" si="0"/>
        <v>21172.107817875018</v>
      </c>
      <c r="J14" s="120"/>
    </row>
    <row r="15" spans="1:10" ht="15.75" thickTop="1" x14ac:dyDescent="0.25">
      <c r="A15" s="2"/>
      <c r="B15" s="37"/>
      <c r="C15" s="42"/>
      <c r="D15" s="128"/>
      <c r="E15" s="129"/>
      <c r="F15" s="130"/>
      <c r="G15" s="129"/>
      <c r="H15" s="128"/>
      <c r="I15" s="129"/>
      <c r="J15" s="120"/>
    </row>
    <row r="16" spans="1:10" x14ac:dyDescent="0.25">
      <c r="A16" s="27" t="s">
        <v>80</v>
      </c>
      <c r="B16" s="37"/>
      <c r="C16" s="42"/>
      <c r="D16" s="128"/>
      <c r="E16" s="129"/>
      <c r="F16" s="130"/>
      <c r="G16" s="129"/>
      <c r="H16" s="128"/>
      <c r="I16" s="129"/>
      <c r="J16" s="120"/>
    </row>
    <row r="17" spans="1:10" x14ac:dyDescent="0.25">
      <c r="A17" s="33" t="s">
        <v>81</v>
      </c>
      <c r="B17" s="35"/>
      <c r="C17" s="53"/>
      <c r="D17" s="117"/>
      <c r="E17" s="118"/>
      <c r="F17" s="119"/>
      <c r="G17" s="118"/>
      <c r="H17" s="117"/>
      <c r="I17" s="118"/>
      <c r="J17" s="120"/>
    </row>
    <row r="18" spans="1:10" x14ac:dyDescent="0.25">
      <c r="A18" s="33" t="s">
        <v>82</v>
      </c>
      <c r="B18" s="35"/>
      <c r="C18" s="53"/>
      <c r="D18" s="117"/>
      <c r="E18" s="118"/>
      <c r="F18" s="119"/>
      <c r="G18" s="118"/>
      <c r="H18" s="117"/>
      <c r="I18" s="118"/>
      <c r="J18" s="120"/>
    </row>
    <row r="19" spans="1:10" x14ac:dyDescent="0.25">
      <c r="A19" s="33" t="s">
        <v>83</v>
      </c>
      <c r="B19" s="35"/>
      <c r="C19" s="53"/>
      <c r="D19" s="117"/>
      <c r="E19" s="118"/>
      <c r="F19" s="119"/>
      <c r="G19" s="118"/>
      <c r="H19" s="117"/>
      <c r="I19" s="118"/>
      <c r="J19" s="120"/>
    </row>
    <row r="20" spans="1:10" x14ac:dyDescent="0.25">
      <c r="A20" s="33" t="s">
        <v>84</v>
      </c>
      <c r="B20" s="35"/>
      <c r="C20" s="53"/>
      <c r="D20" s="117"/>
      <c r="E20" s="118"/>
      <c r="F20" s="119"/>
      <c r="G20" s="118"/>
      <c r="H20" s="117"/>
      <c r="I20" s="118"/>
      <c r="J20" s="120"/>
    </row>
    <row r="21" spans="1:10" x14ac:dyDescent="0.25">
      <c r="A21" s="33" t="s">
        <v>85</v>
      </c>
      <c r="B21" s="35">
        <v>20000</v>
      </c>
      <c r="C21" s="53"/>
      <c r="D21" s="117"/>
      <c r="E21" s="118"/>
      <c r="F21" s="119"/>
      <c r="G21" s="118"/>
      <c r="H21" s="117"/>
      <c r="I21" s="118"/>
      <c r="J21" s="120"/>
    </row>
    <row r="22" spans="1:10" x14ac:dyDescent="0.25">
      <c r="A22" s="8"/>
      <c r="B22" s="37"/>
      <c r="C22" s="42"/>
      <c r="D22" s="128"/>
      <c r="E22" s="129"/>
      <c r="F22" s="130"/>
      <c r="G22" s="129"/>
      <c r="H22" s="128"/>
      <c r="I22" s="129"/>
      <c r="J22" s="120"/>
    </row>
    <row r="23" spans="1:10" ht="15.75" thickBot="1" x14ac:dyDescent="0.3">
      <c r="A23" s="74" t="s">
        <v>86</v>
      </c>
      <c r="B23" s="48">
        <f>SUM(B14:B21)</f>
        <v>26590</v>
      </c>
      <c r="C23" s="70">
        <f t="shared" ref="C23:I23" si="1">SUM(C14:C21)</f>
        <v>19365</v>
      </c>
      <c r="D23" s="131">
        <f t="shared" si="1"/>
        <v>7147.6800000000112</v>
      </c>
      <c r="E23" s="132">
        <f t="shared" si="1"/>
        <v>20182.155000000017</v>
      </c>
      <c r="F23" s="133">
        <f t="shared" si="1"/>
        <v>7395.9374000000134</v>
      </c>
      <c r="G23" s="132">
        <f t="shared" si="1"/>
        <v>20681.536025000009</v>
      </c>
      <c r="H23" s="131">
        <f t="shared" si="1"/>
        <v>7643.5571009999976</v>
      </c>
      <c r="I23" s="132">
        <f t="shared" si="1"/>
        <v>21172.107817875018</v>
      </c>
      <c r="J23" s="120"/>
    </row>
    <row r="24" spans="1:10" ht="15.75" thickTop="1" x14ac:dyDescent="0.25">
      <c r="A24" s="2"/>
      <c r="B24" s="37"/>
      <c r="C24" s="42"/>
      <c r="D24" s="128"/>
      <c r="E24" s="129"/>
      <c r="F24" s="130"/>
      <c r="G24" s="129"/>
      <c r="H24" s="128"/>
      <c r="I24" s="129"/>
      <c r="J24" s="120"/>
    </row>
    <row r="25" spans="1:10" x14ac:dyDescent="0.25">
      <c r="A25" s="1" t="s">
        <v>87</v>
      </c>
      <c r="B25" s="37"/>
      <c r="C25" s="42"/>
      <c r="D25" s="128"/>
      <c r="E25" s="129"/>
      <c r="F25" s="130"/>
      <c r="G25" s="129"/>
      <c r="H25" s="128"/>
      <c r="I25" s="129"/>
      <c r="J25" s="120"/>
    </row>
    <row r="26" spans="1:10" x14ac:dyDescent="0.25">
      <c r="A26" s="33" t="s">
        <v>88</v>
      </c>
      <c r="B26" s="35">
        <v>-5000</v>
      </c>
      <c r="C26" s="53">
        <v>-5000</v>
      </c>
      <c r="D26" s="117">
        <v>-7000</v>
      </c>
      <c r="E26" s="118">
        <v>-7000</v>
      </c>
      <c r="F26" s="119">
        <v>-7000</v>
      </c>
      <c r="G26" s="118">
        <v>-7000</v>
      </c>
      <c r="H26" s="117">
        <v>-7000</v>
      </c>
      <c r="I26" s="118">
        <v>-7000</v>
      </c>
      <c r="J26" s="120"/>
    </row>
    <row r="27" spans="1:10" x14ac:dyDescent="0.25">
      <c r="A27" s="33" t="s">
        <v>89</v>
      </c>
      <c r="B27" s="35"/>
      <c r="C27" s="53"/>
      <c r="D27" s="117"/>
      <c r="E27" s="118"/>
      <c r="F27" s="119"/>
      <c r="G27" s="118"/>
      <c r="H27" s="117"/>
      <c r="I27" s="118"/>
      <c r="J27" s="120"/>
    </row>
    <row r="28" spans="1:10" x14ac:dyDescent="0.25">
      <c r="A28" s="33" t="s">
        <v>90</v>
      </c>
      <c r="B28" s="35"/>
      <c r="C28" s="53"/>
      <c r="D28" s="117"/>
      <c r="E28" s="118"/>
      <c r="F28" s="119"/>
      <c r="G28" s="118"/>
      <c r="H28" s="117"/>
      <c r="I28" s="118"/>
      <c r="J28" s="120"/>
    </row>
    <row r="29" spans="1:10" x14ac:dyDescent="0.25">
      <c r="A29" s="33" t="s">
        <v>91</v>
      </c>
      <c r="B29" s="35"/>
      <c r="C29" s="53"/>
      <c r="D29" s="117"/>
      <c r="E29" s="118"/>
      <c r="F29" s="119"/>
      <c r="G29" s="118"/>
      <c r="H29" s="117"/>
      <c r="I29" s="118"/>
      <c r="J29" s="120"/>
    </row>
    <row r="30" spans="1:10" x14ac:dyDescent="0.25">
      <c r="A30" s="33" t="s">
        <v>92</v>
      </c>
      <c r="B30" s="35"/>
      <c r="C30" s="53"/>
      <c r="D30" s="117"/>
      <c r="E30" s="118"/>
      <c r="F30" s="119"/>
      <c r="G30" s="118"/>
      <c r="H30" s="117"/>
      <c r="I30" s="118"/>
      <c r="J30" s="120"/>
    </row>
    <row r="31" spans="1:10" x14ac:dyDescent="0.25">
      <c r="A31" s="73" t="s">
        <v>93</v>
      </c>
      <c r="B31" s="71"/>
      <c r="C31" s="69"/>
      <c r="D31" s="122"/>
      <c r="E31" s="123"/>
      <c r="F31" s="124"/>
      <c r="G31" s="123"/>
      <c r="H31" s="122"/>
      <c r="I31" s="123"/>
      <c r="J31" s="120"/>
    </row>
    <row r="32" spans="1:10" ht="15.75" thickBot="1" x14ac:dyDescent="0.3">
      <c r="A32" s="74" t="s">
        <v>94</v>
      </c>
      <c r="B32" s="48">
        <f>SUM(B26:B31)</f>
        <v>-5000</v>
      </c>
      <c r="C32" s="70">
        <f t="shared" ref="C32:I32" si="2">SUM(C26:C31)</f>
        <v>-5000</v>
      </c>
      <c r="D32" s="131">
        <f t="shared" si="2"/>
        <v>-7000</v>
      </c>
      <c r="E32" s="132">
        <f t="shared" si="2"/>
        <v>-7000</v>
      </c>
      <c r="F32" s="133">
        <f t="shared" si="2"/>
        <v>-7000</v>
      </c>
      <c r="G32" s="132">
        <f t="shared" si="2"/>
        <v>-7000</v>
      </c>
      <c r="H32" s="131">
        <f t="shared" si="2"/>
        <v>-7000</v>
      </c>
      <c r="I32" s="132">
        <f t="shared" si="2"/>
        <v>-7000</v>
      </c>
      <c r="J32" s="120"/>
    </row>
    <row r="33" spans="1:10" ht="15.75" thickTop="1" x14ac:dyDescent="0.25">
      <c r="A33" s="25"/>
      <c r="B33" s="37"/>
      <c r="C33" s="42"/>
      <c r="D33" s="128"/>
      <c r="E33" s="129"/>
      <c r="F33" s="130"/>
      <c r="G33" s="129"/>
      <c r="H33" s="128"/>
      <c r="I33" s="129"/>
      <c r="J33" s="120"/>
    </row>
    <row r="34" spans="1:10" x14ac:dyDescent="0.25">
      <c r="A34" s="1" t="s">
        <v>95</v>
      </c>
      <c r="B34" s="37"/>
      <c r="C34" s="42"/>
      <c r="D34" s="128"/>
      <c r="E34" s="129"/>
      <c r="F34" s="130"/>
      <c r="G34" s="129"/>
      <c r="H34" s="128"/>
      <c r="I34" s="129"/>
      <c r="J34" s="120"/>
    </row>
    <row r="35" spans="1:10" x14ac:dyDescent="0.25">
      <c r="A35" s="33" t="s">
        <v>96</v>
      </c>
      <c r="B35" s="35"/>
      <c r="C35" s="53"/>
      <c r="D35" s="117"/>
      <c r="E35" s="118"/>
      <c r="F35" s="119"/>
      <c r="G35" s="118"/>
      <c r="H35" s="117"/>
      <c r="I35" s="118"/>
      <c r="J35" s="120"/>
    </row>
    <row r="36" spans="1:10" x14ac:dyDescent="0.25">
      <c r="A36" s="33" t="s">
        <v>97</v>
      </c>
      <c r="B36" s="35">
        <v>-1951</v>
      </c>
      <c r="C36" s="53">
        <v>-2832</v>
      </c>
      <c r="D36" s="117">
        <v>-1951</v>
      </c>
      <c r="E36" s="118">
        <v>-2832</v>
      </c>
      <c r="F36" s="119">
        <v>-1951</v>
      </c>
      <c r="G36" s="118">
        <v>-2832</v>
      </c>
      <c r="H36" s="117">
        <v>-1951</v>
      </c>
      <c r="I36" s="118">
        <v>-2832</v>
      </c>
      <c r="J36" s="120"/>
    </row>
    <row r="37" spans="1:10" x14ac:dyDescent="0.25">
      <c r="A37" s="33" t="s">
        <v>98</v>
      </c>
      <c r="B37" s="35"/>
      <c r="C37" s="53"/>
      <c r="D37" s="117"/>
      <c r="E37" s="118"/>
      <c r="F37" s="119"/>
      <c r="G37" s="118"/>
      <c r="H37" s="117"/>
      <c r="I37" s="118"/>
      <c r="J37" s="120"/>
    </row>
    <row r="38" spans="1:10" x14ac:dyDescent="0.25">
      <c r="A38" s="33" t="s">
        <v>99</v>
      </c>
      <c r="B38" s="35"/>
      <c r="C38" s="53"/>
      <c r="D38" s="117"/>
      <c r="E38" s="118"/>
      <c r="F38" s="119"/>
      <c r="G38" s="118"/>
      <c r="H38" s="117"/>
      <c r="I38" s="118"/>
      <c r="J38" s="120"/>
    </row>
    <row r="39" spans="1:10" x14ac:dyDescent="0.25">
      <c r="A39" s="33" t="s">
        <v>100</v>
      </c>
      <c r="B39" s="35"/>
      <c r="C39" s="53"/>
      <c r="D39" s="117"/>
      <c r="E39" s="118"/>
      <c r="F39" s="119"/>
      <c r="G39" s="118"/>
      <c r="H39" s="117"/>
      <c r="I39" s="118"/>
      <c r="J39" s="120"/>
    </row>
    <row r="40" spans="1:10" x14ac:dyDescent="0.25">
      <c r="A40" s="33" t="s">
        <v>101</v>
      </c>
      <c r="B40" s="35"/>
      <c r="C40" s="53"/>
      <c r="D40" s="117"/>
      <c r="E40" s="118"/>
      <c r="F40" s="119"/>
      <c r="G40" s="118"/>
      <c r="H40" s="117"/>
      <c r="I40" s="118"/>
      <c r="J40" s="120"/>
    </row>
    <row r="41" spans="1:10" x14ac:dyDescent="0.25">
      <c r="A41" s="33" t="s">
        <v>102</v>
      </c>
      <c r="B41" s="35"/>
      <c r="C41" s="53"/>
      <c r="D41" s="117"/>
      <c r="E41" s="118"/>
      <c r="F41" s="119"/>
      <c r="G41" s="118"/>
      <c r="H41" s="117"/>
      <c r="I41" s="118"/>
      <c r="J41" s="120"/>
    </row>
    <row r="42" spans="1:10" x14ac:dyDescent="0.25">
      <c r="A42" s="73" t="s">
        <v>103</v>
      </c>
      <c r="B42" s="71"/>
      <c r="C42" s="69"/>
      <c r="D42" s="122"/>
      <c r="E42" s="123"/>
      <c r="F42" s="124"/>
      <c r="G42" s="123"/>
      <c r="H42" s="122"/>
      <c r="I42" s="123"/>
      <c r="J42" s="120"/>
    </row>
    <row r="43" spans="1:10" ht="15.75" thickBot="1" x14ac:dyDescent="0.3">
      <c r="A43" s="74" t="s">
        <v>104</v>
      </c>
      <c r="B43" s="72">
        <f>SUM(B35:B42)</f>
        <v>-1951</v>
      </c>
      <c r="C43" s="60">
        <f t="shared" ref="C43:I43" si="3">SUM(C35:C42)</f>
        <v>-2832</v>
      </c>
      <c r="D43" s="125">
        <f t="shared" si="3"/>
        <v>-1951</v>
      </c>
      <c r="E43" s="126">
        <f t="shared" si="3"/>
        <v>-2832</v>
      </c>
      <c r="F43" s="127">
        <f t="shared" si="3"/>
        <v>-1951</v>
      </c>
      <c r="G43" s="126">
        <f t="shared" si="3"/>
        <v>-2832</v>
      </c>
      <c r="H43" s="125">
        <f t="shared" si="3"/>
        <v>-1951</v>
      </c>
      <c r="I43" s="126">
        <f t="shared" si="3"/>
        <v>-2832</v>
      </c>
      <c r="J43" s="120"/>
    </row>
    <row r="44" spans="1:10" ht="15.75" thickTop="1" x14ac:dyDescent="0.25">
      <c r="A44" s="26"/>
      <c r="B44" s="37"/>
      <c r="C44" s="42"/>
      <c r="D44" s="128"/>
      <c r="E44" s="129"/>
      <c r="F44" s="130"/>
      <c r="G44" s="129"/>
      <c r="H44" s="128"/>
      <c r="I44" s="129"/>
      <c r="J44" s="120"/>
    </row>
    <row r="45" spans="1:10" ht="15.75" thickBot="1" x14ac:dyDescent="0.3">
      <c r="A45" s="29" t="s">
        <v>105</v>
      </c>
      <c r="B45" s="72">
        <f>SUM(B23+B32+B43)</f>
        <v>19639</v>
      </c>
      <c r="C45" s="60">
        <f t="shared" ref="C45:I45" si="4">SUM(C23+C32+C43)</f>
        <v>11533</v>
      </c>
      <c r="D45" s="125">
        <f t="shared" si="4"/>
        <v>-1803.3199999999888</v>
      </c>
      <c r="E45" s="126">
        <f t="shared" si="4"/>
        <v>10350.155000000017</v>
      </c>
      <c r="F45" s="127">
        <f t="shared" si="4"/>
        <v>-1555.0625999999866</v>
      </c>
      <c r="G45" s="126">
        <f t="shared" si="4"/>
        <v>10849.536025000009</v>
      </c>
      <c r="H45" s="125">
        <f t="shared" si="4"/>
        <v>-1307.4428990000024</v>
      </c>
      <c r="I45" s="126">
        <f t="shared" si="4"/>
        <v>11340.107817875018</v>
      </c>
      <c r="J45" s="120"/>
    </row>
    <row r="46" spans="1:10" ht="15.75" thickTop="1" x14ac:dyDescent="0.25">
      <c r="A46" s="2"/>
      <c r="B46" s="37"/>
      <c r="C46" s="42"/>
      <c r="D46" s="128"/>
      <c r="E46" s="129"/>
      <c r="F46" s="130"/>
      <c r="G46" s="129"/>
      <c r="H46" s="128"/>
      <c r="I46" s="129"/>
      <c r="J46" s="120"/>
    </row>
    <row r="47" spans="1:10" x14ac:dyDescent="0.25">
      <c r="A47" s="2" t="s">
        <v>106</v>
      </c>
      <c r="B47" s="37">
        <v>40256</v>
      </c>
      <c r="C47" s="42">
        <v>48815</v>
      </c>
      <c r="D47" s="134">
        <v>59895</v>
      </c>
      <c r="E47" s="135">
        <v>60348</v>
      </c>
      <c r="F47" s="136">
        <v>58092</v>
      </c>
      <c r="G47" s="135">
        <v>70698</v>
      </c>
      <c r="H47" s="134">
        <v>56537</v>
      </c>
      <c r="I47" s="135">
        <v>81548</v>
      </c>
      <c r="J47" s="120"/>
    </row>
    <row r="48" spans="1:10" ht="15.75" thickBot="1" x14ac:dyDescent="0.3">
      <c r="A48" s="29" t="s">
        <v>107</v>
      </c>
      <c r="B48" s="72">
        <f>SUM(B45+B47)</f>
        <v>59895</v>
      </c>
      <c r="C48" s="60">
        <f t="shared" ref="C48:I48" si="5">SUM(C45+C47)</f>
        <v>60348</v>
      </c>
      <c r="D48" s="125">
        <f t="shared" si="5"/>
        <v>58091.680000000008</v>
      </c>
      <c r="E48" s="126">
        <f t="shared" si="5"/>
        <v>70698.155000000013</v>
      </c>
      <c r="F48" s="127">
        <f t="shared" si="5"/>
        <v>56536.93740000001</v>
      </c>
      <c r="G48" s="126">
        <f t="shared" si="5"/>
        <v>81547.536025000009</v>
      </c>
      <c r="H48" s="125">
        <f t="shared" si="5"/>
        <v>55229.557100999999</v>
      </c>
      <c r="I48" s="126">
        <f t="shared" si="5"/>
        <v>92888.107817875018</v>
      </c>
      <c r="J48" s="120"/>
    </row>
    <row r="49" spans="1:10" ht="15.75" thickTop="1" x14ac:dyDescent="0.25">
      <c r="A49" s="18"/>
      <c r="B49" s="68"/>
      <c r="C49" s="18"/>
      <c r="D49" s="120"/>
      <c r="E49" s="120"/>
      <c r="F49" s="120"/>
      <c r="G49" s="120"/>
      <c r="H49" s="120"/>
      <c r="I49" s="120"/>
      <c r="J49" s="120"/>
    </row>
    <row r="50" spans="1:10" x14ac:dyDescent="0.25">
      <c r="A50" s="18"/>
      <c r="B50" s="18"/>
      <c r="C50" s="18"/>
      <c r="D50" s="120"/>
      <c r="E50" s="120"/>
      <c r="F50" s="120"/>
      <c r="G50" s="120"/>
      <c r="H50" s="120"/>
      <c r="I50" s="120"/>
      <c r="J50" s="120"/>
    </row>
    <row r="51" spans="1:10" x14ac:dyDescent="0.25">
      <c r="A51" s="18"/>
      <c r="B51" s="18"/>
      <c r="C51" s="18"/>
      <c r="D51" s="120"/>
      <c r="E51" s="120"/>
      <c r="F51" s="120"/>
      <c r="G51" s="120"/>
      <c r="H51" s="120"/>
      <c r="I51" s="120"/>
      <c r="J51" s="120"/>
    </row>
    <row r="52" spans="1:10" x14ac:dyDescent="0.25">
      <c r="A52" s="18"/>
      <c r="B52" s="18"/>
      <c r="C52" s="18"/>
      <c r="D52" s="120"/>
      <c r="E52" s="120"/>
      <c r="F52" s="120"/>
      <c r="G52" s="120"/>
      <c r="H52" s="120"/>
      <c r="I52" s="120"/>
      <c r="J52" s="120"/>
    </row>
    <row r="53" spans="1:10" x14ac:dyDescent="0.25">
      <c r="A53" s="18"/>
      <c r="B53" s="18"/>
      <c r="C53" s="18"/>
      <c r="D53" s="120"/>
      <c r="E53" s="120"/>
      <c r="F53" s="120"/>
      <c r="G53" s="120"/>
      <c r="H53" s="120"/>
      <c r="I53" s="120"/>
      <c r="J53" s="120"/>
    </row>
    <row r="54" spans="1:10" x14ac:dyDescent="0.25">
      <c r="A54" s="18"/>
      <c r="B54" s="18"/>
      <c r="C54" s="18"/>
      <c r="D54" s="120"/>
      <c r="E54" s="120"/>
      <c r="F54" s="120"/>
      <c r="G54" s="120"/>
      <c r="H54" s="120"/>
      <c r="I54" s="120"/>
      <c r="J54" s="120"/>
    </row>
    <row r="55" spans="1:10" x14ac:dyDescent="0.25">
      <c r="A55" s="18"/>
      <c r="B55" s="18"/>
      <c r="C55" s="18"/>
      <c r="D55" s="120"/>
      <c r="E55" s="120"/>
      <c r="F55" s="120"/>
      <c r="G55" s="120"/>
      <c r="H55" s="120"/>
      <c r="I55" s="120"/>
      <c r="J55" s="120"/>
    </row>
    <row r="56" spans="1:10" x14ac:dyDescent="0.25">
      <c r="A56" s="18"/>
      <c r="B56" s="18"/>
      <c r="C56" s="18"/>
    </row>
    <row r="57" spans="1:10" x14ac:dyDescent="0.25">
      <c r="A57" s="18"/>
      <c r="B57" s="18"/>
      <c r="C57" s="18"/>
    </row>
    <row r="58" spans="1:10" x14ac:dyDescent="0.25">
      <c r="A58" s="18"/>
      <c r="B58" s="18"/>
      <c r="C58" s="18"/>
    </row>
    <row r="59" spans="1:10" x14ac:dyDescent="0.25">
      <c r="A59" s="18"/>
      <c r="B59" s="18"/>
      <c r="C59" s="18"/>
    </row>
    <row r="60" spans="1:10" x14ac:dyDescent="0.25">
      <c r="A60" s="18"/>
      <c r="B60" s="18"/>
      <c r="C60" s="18"/>
    </row>
    <row r="61" spans="1:10" x14ac:dyDescent="0.25">
      <c r="A61" s="18"/>
      <c r="B61" s="18"/>
      <c r="C61" s="18"/>
    </row>
    <row r="62" spans="1:10" x14ac:dyDescent="0.25">
      <c r="A62" s="18"/>
      <c r="B62" s="18"/>
      <c r="C62" s="18"/>
    </row>
    <row r="63" spans="1:10" x14ac:dyDescent="0.25">
      <c r="A63" s="18"/>
      <c r="B63" s="18"/>
      <c r="C63" s="18"/>
    </row>
    <row r="64" spans="1:10" x14ac:dyDescent="0.25">
      <c r="A64" s="18"/>
      <c r="B64" s="18"/>
      <c r="C64" s="18"/>
    </row>
    <row r="65" spans="1:3" x14ac:dyDescent="0.25">
      <c r="A65" s="18"/>
      <c r="B65" s="18"/>
      <c r="C65" s="18"/>
    </row>
    <row r="66" spans="1:3" x14ac:dyDescent="0.25">
      <c r="A66" s="18"/>
      <c r="B66" s="18"/>
      <c r="C66" s="18"/>
    </row>
    <row r="67" spans="1:3" x14ac:dyDescent="0.25">
      <c r="A67" s="18"/>
      <c r="B67" s="18"/>
      <c r="C67" s="18"/>
    </row>
    <row r="68" spans="1:3" x14ac:dyDescent="0.25">
      <c r="A68" s="18"/>
      <c r="B68" s="18"/>
      <c r="C68" s="18"/>
    </row>
    <row r="69" spans="1:3" x14ac:dyDescent="0.25">
      <c r="A69" s="18"/>
      <c r="B69" s="18"/>
      <c r="C69" s="18"/>
    </row>
    <row r="70" spans="1:3" x14ac:dyDescent="0.25">
      <c r="A70" s="18"/>
      <c r="B70" s="18"/>
      <c r="C70" s="18"/>
    </row>
    <row r="71" spans="1:3" x14ac:dyDescent="0.25">
      <c r="A71" s="18"/>
      <c r="B71" s="18"/>
      <c r="C71" s="18"/>
    </row>
    <row r="72" spans="1:3" x14ac:dyDescent="0.25">
      <c r="A72" s="18"/>
      <c r="B72" s="18"/>
      <c r="C72" s="18"/>
    </row>
    <row r="73" spans="1:3" x14ac:dyDescent="0.25">
      <c r="A73" s="18"/>
      <c r="B73" s="18"/>
      <c r="C73" s="18"/>
    </row>
    <row r="74" spans="1:3" x14ac:dyDescent="0.25">
      <c r="A74" s="18"/>
      <c r="B74" s="18"/>
      <c r="C74" s="18"/>
    </row>
    <row r="75" spans="1:3" x14ac:dyDescent="0.25">
      <c r="A75" s="18"/>
      <c r="B75" s="18"/>
      <c r="C75" s="18"/>
    </row>
    <row r="76" spans="1:3" x14ac:dyDescent="0.25">
      <c r="A76" s="18"/>
      <c r="B76" s="18"/>
      <c r="C76" s="18"/>
    </row>
    <row r="77" spans="1:3" x14ac:dyDescent="0.25">
      <c r="A77" s="18"/>
      <c r="B77" s="18"/>
      <c r="C77" s="18"/>
    </row>
    <row r="78" spans="1:3" x14ac:dyDescent="0.25">
      <c r="A78" s="18"/>
      <c r="B78" s="18"/>
      <c r="C78" s="18"/>
    </row>
    <row r="79" spans="1:3" x14ac:dyDescent="0.25">
      <c r="A79" s="18"/>
      <c r="B79" s="18"/>
      <c r="C79" s="18"/>
    </row>
    <row r="80" spans="1:3" x14ac:dyDescent="0.25">
      <c r="A80" s="18"/>
      <c r="B80" s="18"/>
      <c r="C80" s="18"/>
    </row>
    <row r="81" spans="1:3" x14ac:dyDescent="0.25">
      <c r="A81" s="18"/>
      <c r="B81" s="18"/>
      <c r="C81" s="18"/>
    </row>
    <row r="82" spans="1:3" x14ac:dyDescent="0.25">
      <c r="A82" s="18"/>
      <c r="B82" s="18"/>
      <c r="C82" s="18"/>
    </row>
    <row r="83" spans="1:3" x14ac:dyDescent="0.25">
      <c r="A83" s="18"/>
      <c r="B83" s="18"/>
      <c r="C83" s="18"/>
    </row>
    <row r="84" spans="1:3" x14ac:dyDescent="0.25">
      <c r="A84" s="18"/>
      <c r="B84" s="18"/>
      <c r="C84" s="18"/>
    </row>
    <row r="85" spans="1:3" x14ac:dyDescent="0.25">
      <c r="A85" s="18"/>
      <c r="B85" s="18"/>
      <c r="C85" s="18"/>
    </row>
    <row r="86" spans="1:3" x14ac:dyDescent="0.25">
      <c r="A86" s="18"/>
      <c r="B86" s="18"/>
      <c r="C86" s="18"/>
    </row>
    <row r="87" spans="1:3" x14ac:dyDescent="0.25">
      <c r="A87" s="18"/>
      <c r="B87" s="18"/>
      <c r="C87" s="18"/>
    </row>
    <row r="88" spans="1:3" x14ac:dyDescent="0.25">
      <c r="A88" s="18"/>
      <c r="B88" s="18"/>
      <c r="C88" s="18"/>
    </row>
    <row r="89" spans="1:3" x14ac:dyDescent="0.25">
      <c r="A89" s="18"/>
      <c r="B89" s="18"/>
      <c r="C89" s="18"/>
    </row>
    <row r="90" spans="1:3" x14ac:dyDescent="0.25">
      <c r="A90" s="18"/>
      <c r="B90" s="18"/>
      <c r="C90" s="18"/>
    </row>
    <row r="91" spans="1:3" x14ac:dyDescent="0.25">
      <c r="A91" s="18"/>
      <c r="B91" s="18"/>
      <c r="C91" s="18"/>
    </row>
    <row r="92" spans="1:3" x14ac:dyDescent="0.25">
      <c r="A92" s="18"/>
      <c r="B92" s="18"/>
      <c r="C92" s="18"/>
    </row>
    <row r="93" spans="1:3" x14ac:dyDescent="0.25">
      <c r="A93" s="18"/>
      <c r="B93" s="18"/>
      <c r="C93" s="18"/>
    </row>
    <row r="94" spans="1:3" x14ac:dyDescent="0.25">
      <c r="A94" s="18"/>
      <c r="B94" s="18"/>
      <c r="C94" s="18"/>
    </row>
    <row r="95" spans="1:3" x14ac:dyDescent="0.25">
      <c r="A95" s="18"/>
      <c r="B95" s="18"/>
      <c r="C95" s="18"/>
    </row>
    <row r="96" spans="1:3" x14ac:dyDescent="0.25">
      <c r="A96" s="18"/>
      <c r="B96" s="18"/>
      <c r="C96" s="18"/>
    </row>
    <row r="97" spans="1:3" x14ac:dyDescent="0.25">
      <c r="A97" s="18"/>
      <c r="B97" s="18"/>
      <c r="C97" s="18"/>
    </row>
    <row r="98" spans="1:3" x14ac:dyDescent="0.25">
      <c r="A98" s="18"/>
      <c r="B98" s="18"/>
      <c r="C98" s="18"/>
    </row>
    <row r="99" spans="1:3" x14ac:dyDescent="0.25">
      <c r="A99" s="18"/>
      <c r="B99" s="18"/>
      <c r="C99" s="18"/>
    </row>
    <row r="100" spans="1:3" x14ac:dyDescent="0.25">
      <c r="A100" s="18"/>
      <c r="B100" s="18"/>
      <c r="C100" s="18"/>
    </row>
    <row r="101" spans="1:3" x14ac:dyDescent="0.25">
      <c r="A101" s="18"/>
      <c r="B101" s="18"/>
      <c r="C101" s="18"/>
    </row>
  </sheetData>
  <mergeCells count="4">
    <mergeCell ref="B3:C3"/>
    <mergeCell ref="D3:E3"/>
    <mergeCell ref="F3:G3"/>
    <mergeCell ref="H3:I3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2014-rekstur</vt:lpstr>
      <vt:lpstr>2014-EFNAHAGS</vt:lpstr>
      <vt:lpstr>2014-SJOÐS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Ómar Már Jónsson</dc:creator>
  <cp:lastModifiedBy>Ómar Már Jónsson</cp:lastModifiedBy>
  <cp:lastPrinted>2014-03-20T14:44:12Z</cp:lastPrinted>
  <dcterms:created xsi:type="dcterms:W3CDTF">2014-03-11T14:49:48Z</dcterms:created>
  <dcterms:modified xsi:type="dcterms:W3CDTF">2014-03-21T11:33:32Z</dcterms:modified>
</cp:coreProperties>
</file>